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E4B4DFED-A905-4063-BA5B-238AB82294E2}" xr6:coauthVersionLast="40" xr6:coauthVersionMax="40" xr10:uidLastSave="{00000000-0000-0000-0000-000000000000}"/>
  <bookViews>
    <workbookView xWindow="0" yWindow="0" windowWidth="23040" windowHeight="8730" xr2:uid="{00000000-000D-0000-FFFF-FFFF00000000}"/>
  </bookViews>
  <sheets>
    <sheet name="Budget vs. Actuals" sheetId="1" r:id="rId1"/>
  </sheets>
  <calcPr calcId="191029"/>
</workbook>
</file>

<file path=xl/calcChain.xml><?xml version="1.0" encoding="utf-8"?>
<calcChain xmlns="http://schemas.openxmlformats.org/spreadsheetml/2006/main">
  <c r="D80" i="1" l="1"/>
  <c r="G80" i="1"/>
  <c r="J80" i="1"/>
  <c r="K80" i="1"/>
  <c r="L80" i="1"/>
  <c r="I104" i="1"/>
  <c r="H104" i="1"/>
  <c r="J104" i="1" s="1"/>
  <c r="F104" i="1"/>
  <c r="E104" i="1"/>
  <c r="G104" i="1" s="1"/>
  <c r="C104" i="1"/>
  <c r="B104" i="1"/>
  <c r="D104" i="1" s="1"/>
  <c r="I103" i="1"/>
  <c r="H103" i="1"/>
  <c r="F103" i="1"/>
  <c r="E103" i="1"/>
  <c r="G103" i="1" s="1"/>
  <c r="C103" i="1"/>
  <c r="B103" i="1"/>
  <c r="D103" i="1" s="1"/>
  <c r="I102" i="1"/>
  <c r="H102" i="1"/>
  <c r="F102" i="1"/>
  <c r="E102" i="1"/>
  <c r="G102" i="1" s="1"/>
  <c r="C102" i="1"/>
  <c r="B102" i="1"/>
  <c r="D102" i="1" s="1"/>
  <c r="I101" i="1"/>
  <c r="H101" i="1"/>
  <c r="F101" i="1"/>
  <c r="E101" i="1"/>
  <c r="G101" i="1" s="1"/>
  <c r="C101" i="1"/>
  <c r="B101" i="1"/>
  <c r="D101" i="1" s="1"/>
  <c r="I100" i="1"/>
  <c r="H100" i="1"/>
  <c r="F100" i="1"/>
  <c r="E100" i="1"/>
  <c r="C100" i="1"/>
  <c r="B100" i="1"/>
  <c r="D100" i="1" s="1"/>
  <c r="L99" i="1"/>
  <c r="K99" i="1"/>
  <c r="M99" i="1" s="1"/>
  <c r="J99" i="1"/>
  <c r="G99" i="1"/>
  <c r="D99" i="1"/>
  <c r="L97" i="1"/>
  <c r="H97" i="1"/>
  <c r="J97" i="1" s="1"/>
  <c r="E97" i="1"/>
  <c r="K97" i="1" s="1"/>
  <c r="M97" i="1" s="1"/>
  <c r="D97" i="1"/>
  <c r="I96" i="1"/>
  <c r="H96" i="1"/>
  <c r="J96" i="1" s="1"/>
  <c r="F96" i="1"/>
  <c r="E96" i="1"/>
  <c r="D96" i="1"/>
  <c r="J95" i="1"/>
  <c r="G95" i="1"/>
  <c r="C95" i="1"/>
  <c r="B95" i="1"/>
  <c r="K95" i="1" s="1"/>
  <c r="I94" i="1"/>
  <c r="L94" i="1" s="1"/>
  <c r="H94" i="1"/>
  <c r="K94" i="1" s="1"/>
  <c r="G94" i="1"/>
  <c r="D94" i="1"/>
  <c r="I93" i="1"/>
  <c r="L93" i="1" s="1"/>
  <c r="H93" i="1"/>
  <c r="F93" i="1"/>
  <c r="E93" i="1"/>
  <c r="D93" i="1"/>
  <c r="L92" i="1"/>
  <c r="J92" i="1"/>
  <c r="E92" i="1"/>
  <c r="K92" i="1" s="1"/>
  <c r="D92" i="1"/>
  <c r="K91" i="1"/>
  <c r="J91" i="1"/>
  <c r="F91" i="1"/>
  <c r="L91" i="1" s="1"/>
  <c r="D91" i="1"/>
  <c r="I90" i="1"/>
  <c r="L90" i="1" s="1"/>
  <c r="H90" i="1"/>
  <c r="K90" i="1" s="1"/>
  <c r="G90" i="1"/>
  <c r="D90" i="1"/>
  <c r="I89" i="1"/>
  <c r="L89" i="1" s="1"/>
  <c r="H89" i="1"/>
  <c r="K89" i="1" s="1"/>
  <c r="G89" i="1"/>
  <c r="D89" i="1"/>
  <c r="L88" i="1"/>
  <c r="H88" i="1"/>
  <c r="K88" i="1" s="1"/>
  <c r="G88" i="1"/>
  <c r="D88" i="1"/>
  <c r="I87" i="1"/>
  <c r="L87" i="1" s="1"/>
  <c r="H87" i="1"/>
  <c r="G87" i="1"/>
  <c r="D87" i="1"/>
  <c r="I86" i="1"/>
  <c r="L86" i="1" s="1"/>
  <c r="H86" i="1"/>
  <c r="G86" i="1"/>
  <c r="D86" i="1"/>
  <c r="K85" i="1"/>
  <c r="I85" i="1"/>
  <c r="L85" i="1" s="1"/>
  <c r="H85" i="1"/>
  <c r="G85" i="1"/>
  <c r="D85" i="1"/>
  <c r="I84" i="1"/>
  <c r="H84" i="1"/>
  <c r="J84" i="1" s="1"/>
  <c r="F84" i="1"/>
  <c r="F98" i="1" s="1"/>
  <c r="E84" i="1"/>
  <c r="K84" i="1" s="1"/>
  <c r="D84" i="1"/>
  <c r="K83" i="1"/>
  <c r="J83" i="1"/>
  <c r="G83" i="1"/>
  <c r="C83" i="1"/>
  <c r="L83" i="1" s="1"/>
  <c r="J82" i="1"/>
  <c r="G82" i="1"/>
  <c r="C82" i="1"/>
  <c r="L82" i="1" s="1"/>
  <c r="B82" i="1"/>
  <c r="K82" i="1" s="1"/>
  <c r="J81" i="1"/>
  <c r="G81" i="1"/>
  <c r="C81" i="1"/>
  <c r="B81" i="1"/>
  <c r="B98" i="1" s="1"/>
  <c r="L78" i="1"/>
  <c r="J78" i="1"/>
  <c r="G78" i="1"/>
  <c r="C78" i="1"/>
  <c r="B78" i="1"/>
  <c r="K78" i="1" s="1"/>
  <c r="M78" i="1" s="1"/>
  <c r="J77" i="1"/>
  <c r="G77" i="1"/>
  <c r="C77" i="1"/>
  <c r="B77" i="1"/>
  <c r="K77" i="1" s="1"/>
  <c r="I76" i="1"/>
  <c r="J76" i="1" s="1"/>
  <c r="F76" i="1"/>
  <c r="G76" i="1" s="1"/>
  <c r="C76" i="1"/>
  <c r="L76" i="1" s="1"/>
  <c r="B76" i="1"/>
  <c r="K76" i="1" s="1"/>
  <c r="I75" i="1"/>
  <c r="H75" i="1"/>
  <c r="H79" i="1" s="1"/>
  <c r="F75" i="1"/>
  <c r="F79" i="1" s="1"/>
  <c r="E75" i="1"/>
  <c r="E79" i="1" s="1"/>
  <c r="C75" i="1"/>
  <c r="B75" i="1"/>
  <c r="L74" i="1"/>
  <c r="K74" i="1"/>
  <c r="J74" i="1"/>
  <c r="G74" i="1"/>
  <c r="D74" i="1"/>
  <c r="I72" i="1"/>
  <c r="I73" i="1" s="1"/>
  <c r="H72" i="1"/>
  <c r="H73" i="1" s="1"/>
  <c r="F72" i="1"/>
  <c r="E72" i="1"/>
  <c r="E73" i="1" s="1"/>
  <c r="C72" i="1"/>
  <c r="C73" i="1" s="1"/>
  <c r="B72" i="1"/>
  <c r="L71" i="1"/>
  <c r="K71" i="1"/>
  <c r="J71" i="1"/>
  <c r="G71" i="1"/>
  <c r="D71" i="1"/>
  <c r="H70" i="1"/>
  <c r="E70" i="1"/>
  <c r="J69" i="1"/>
  <c r="G69" i="1"/>
  <c r="C69" i="1"/>
  <c r="L69" i="1" s="1"/>
  <c r="B69" i="1"/>
  <c r="K69" i="1" s="1"/>
  <c r="J68" i="1"/>
  <c r="G68" i="1"/>
  <c r="C68" i="1"/>
  <c r="L68" i="1" s="1"/>
  <c r="B68" i="1"/>
  <c r="K68" i="1" s="1"/>
  <c r="J67" i="1"/>
  <c r="G67" i="1"/>
  <c r="D67" i="1"/>
  <c r="C67" i="1"/>
  <c r="L67" i="1" s="1"/>
  <c r="B67" i="1"/>
  <c r="K67" i="1" s="1"/>
  <c r="K66" i="1"/>
  <c r="J66" i="1"/>
  <c r="G66" i="1"/>
  <c r="C66" i="1"/>
  <c r="L66" i="1" s="1"/>
  <c r="J65" i="1"/>
  <c r="G65" i="1"/>
  <c r="C65" i="1"/>
  <c r="B65" i="1"/>
  <c r="K65" i="1" s="1"/>
  <c r="K64" i="1"/>
  <c r="J64" i="1"/>
  <c r="G64" i="1"/>
  <c r="C64" i="1"/>
  <c r="K63" i="1"/>
  <c r="J63" i="1"/>
  <c r="G63" i="1"/>
  <c r="C63" i="1"/>
  <c r="L63" i="1" s="1"/>
  <c r="K62" i="1"/>
  <c r="I62" i="1"/>
  <c r="J62" i="1" s="1"/>
  <c r="G62" i="1"/>
  <c r="C62" i="1"/>
  <c r="D62" i="1" s="1"/>
  <c r="I61" i="1"/>
  <c r="F61" i="1"/>
  <c r="G61" i="1" s="1"/>
  <c r="C61" i="1"/>
  <c r="B61" i="1"/>
  <c r="L60" i="1"/>
  <c r="K60" i="1"/>
  <c r="J60" i="1"/>
  <c r="G60" i="1"/>
  <c r="D60" i="1"/>
  <c r="I58" i="1"/>
  <c r="H58" i="1"/>
  <c r="F58" i="1"/>
  <c r="E58" i="1"/>
  <c r="C58" i="1"/>
  <c r="B58" i="1"/>
  <c r="K58" i="1" s="1"/>
  <c r="I57" i="1"/>
  <c r="H57" i="1"/>
  <c r="F57" i="1"/>
  <c r="E57" i="1"/>
  <c r="C57" i="1"/>
  <c r="B57" i="1"/>
  <c r="I56" i="1"/>
  <c r="H56" i="1"/>
  <c r="F56" i="1"/>
  <c r="E56" i="1"/>
  <c r="D56" i="1"/>
  <c r="K55" i="1"/>
  <c r="J55" i="1"/>
  <c r="G55" i="1"/>
  <c r="C55" i="1"/>
  <c r="L54" i="1"/>
  <c r="K54" i="1"/>
  <c r="J54" i="1"/>
  <c r="G54" i="1"/>
  <c r="D54" i="1"/>
  <c r="I52" i="1"/>
  <c r="H52" i="1"/>
  <c r="F52" i="1"/>
  <c r="E52" i="1"/>
  <c r="G52" i="1" s="1"/>
  <c r="C52" i="1"/>
  <c r="B52" i="1"/>
  <c r="D52" i="1" s="1"/>
  <c r="I51" i="1"/>
  <c r="H51" i="1"/>
  <c r="F51" i="1"/>
  <c r="E51" i="1"/>
  <c r="C51" i="1"/>
  <c r="L51" i="1" s="1"/>
  <c r="B51" i="1"/>
  <c r="I50" i="1"/>
  <c r="H50" i="1"/>
  <c r="F50" i="1"/>
  <c r="E50" i="1"/>
  <c r="C50" i="1"/>
  <c r="B50" i="1"/>
  <c r="I49" i="1"/>
  <c r="H49" i="1"/>
  <c r="F49" i="1"/>
  <c r="E49" i="1"/>
  <c r="C49" i="1"/>
  <c r="B49" i="1"/>
  <c r="I48" i="1"/>
  <c r="H48" i="1"/>
  <c r="F48" i="1"/>
  <c r="E48" i="1"/>
  <c r="C48" i="1"/>
  <c r="B48" i="1"/>
  <c r="I47" i="1"/>
  <c r="H47" i="1"/>
  <c r="F47" i="1"/>
  <c r="E47" i="1"/>
  <c r="C47" i="1"/>
  <c r="B47" i="1"/>
  <c r="I46" i="1"/>
  <c r="H46" i="1"/>
  <c r="H53" i="1" s="1"/>
  <c r="F46" i="1"/>
  <c r="E46" i="1"/>
  <c r="C46" i="1"/>
  <c r="B46" i="1"/>
  <c r="I45" i="1"/>
  <c r="H45" i="1"/>
  <c r="F45" i="1"/>
  <c r="E45" i="1"/>
  <c r="C45" i="1"/>
  <c r="B45" i="1"/>
  <c r="K44" i="1"/>
  <c r="I44" i="1"/>
  <c r="F44" i="1"/>
  <c r="G44" i="1" s="1"/>
  <c r="C44" i="1"/>
  <c r="L43" i="1"/>
  <c r="K43" i="1"/>
  <c r="J43" i="1"/>
  <c r="G43" i="1"/>
  <c r="D43" i="1"/>
  <c r="K41" i="1"/>
  <c r="I41" i="1"/>
  <c r="J41" i="1" s="1"/>
  <c r="F41" i="1"/>
  <c r="G41" i="1" s="1"/>
  <c r="C41" i="1"/>
  <c r="D41" i="1" s="1"/>
  <c r="I40" i="1"/>
  <c r="H40" i="1"/>
  <c r="F40" i="1"/>
  <c r="E40" i="1"/>
  <c r="C40" i="1"/>
  <c r="B40" i="1"/>
  <c r="I39" i="1"/>
  <c r="H39" i="1"/>
  <c r="J39" i="1" s="1"/>
  <c r="F39" i="1"/>
  <c r="E39" i="1"/>
  <c r="G39" i="1" s="1"/>
  <c r="C39" i="1"/>
  <c r="B39" i="1"/>
  <c r="I38" i="1"/>
  <c r="J38" i="1" s="1"/>
  <c r="F38" i="1"/>
  <c r="E38" i="1"/>
  <c r="C38" i="1"/>
  <c r="L38" i="1" s="1"/>
  <c r="I37" i="1"/>
  <c r="H37" i="1"/>
  <c r="J37" i="1" s="1"/>
  <c r="F37" i="1"/>
  <c r="E37" i="1"/>
  <c r="C37" i="1"/>
  <c r="B37" i="1"/>
  <c r="D37" i="1" s="1"/>
  <c r="I36" i="1"/>
  <c r="H36" i="1"/>
  <c r="F36" i="1"/>
  <c r="E36" i="1"/>
  <c r="G36" i="1" s="1"/>
  <c r="C36" i="1"/>
  <c r="B36" i="1"/>
  <c r="I35" i="1"/>
  <c r="J35" i="1" s="1"/>
  <c r="G35" i="1"/>
  <c r="C35" i="1"/>
  <c r="B35" i="1"/>
  <c r="K34" i="1"/>
  <c r="I34" i="1"/>
  <c r="J34" i="1" s="1"/>
  <c r="F34" i="1"/>
  <c r="F42" i="1" s="1"/>
  <c r="D34" i="1"/>
  <c r="L33" i="1"/>
  <c r="K33" i="1"/>
  <c r="M33" i="1" s="1"/>
  <c r="J33" i="1"/>
  <c r="G33" i="1"/>
  <c r="D33" i="1"/>
  <c r="I31" i="1"/>
  <c r="H31" i="1"/>
  <c r="J31" i="1" s="1"/>
  <c r="F31" i="1"/>
  <c r="E31" i="1"/>
  <c r="G31" i="1" s="1"/>
  <c r="C31" i="1"/>
  <c r="B31" i="1"/>
  <c r="I30" i="1"/>
  <c r="H30" i="1"/>
  <c r="J30" i="1" s="1"/>
  <c r="F30" i="1"/>
  <c r="L30" i="1" s="1"/>
  <c r="E30" i="1"/>
  <c r="B30" i="1"/>
  <c r="D30" i="1" s="1"/>
  <c r="I29" i="1"/>
  <c r="H29" i="1"/>
  <c r="F29" i="1"/>
  <c r="E29" i="1"/>
  <c r="G29" i="1" s="1"/>
  <c r="C29" i="1"/>
  <c r="B29" i="1"/>
  <c r="I28" i="1"/>
  <c r="H28" i="1"/>
  <c r="F28" i="1"/>
  <c r="E28" i="1"/>
  <c r="G28" i="1" s="1"/>
  <c r="C28" i="1"/>
  <c r="B28" i="1"/>
  <c r="I27" i="1"/>
  <c r="H27" i="1"/>
  <c r="F27" i="1"/>
  <c r="E27" i="1"/>
  <c r="G27" i="1" s="1"/>
  <c r="C27" i="1"/>
  <c r="B27" i="1"/>
  <c r="B32" i="1" s="1"/>
  <c r="I26" i="1"/>
  <c r="H26" i="1"/>
  <c r="F26" i="1"/>
  <c r="E26" i="1"/>
  <c r="B26" i="1"/>
  <c r="I25" i="1"/>
  <c r="H25" i="1"/>
  <c r="G25" i="1"/>
  <c r="D25" i="1"/>
  <c r="L24" i="1"/>
  <c r="K24" i="1"/>
  <c r="J24" i="1"/>
  <c r="G24" i="1"/>
  <c r="D24" i="1"/>
  <c r="I19" i="1"/>
  <c r="J19" i="1" s="1"/>
  <c r="F19" i="1"/>
  <c r="E19" i="1"/>
  <c r="D19" i="1"/>
  <c r="J18" i="1"/>
  <c r="H18" i="1"/>
  <c r="F18" i="1"/>
  <c r="L18" i="1" s="1"/>
  <c r="E18" i="1"/>
  <c r="K18" i="1" s="1"/>
  <c r="D18" i="1"/>
  <c r="L17" i="1"/>
  <c r="H17" i="1"/>
  <c r="G17" i="1"/>
  <c r="D17" i="1"/>
  <c r="I16" i="1"/>
  <c r="L16" i="1" s="1"/>
  <c r="H16" i="1"/>
  <c r="J16" i="1" s="1"/>
  <c r="G16" i="1"/>
  <c r="D16" i="1"/>
  <c r="I15" i="1"/>
  <c r="L15" i="1" s="1"/>
  <c r="H15" i="1"/>
  <c r="G15" i="1"/>
  <c r="D15" i="1"/>
  <c r="I14" i="1"/>
  <c r="L14" i="1" s="1"/>
  <c r="H14" i="1"/>
  <c r="G14" i="1"/>
  <c r="D14" i="1"/>
  <c r="I13" i="1"/>
  <c r="H13" i="1"/>
  <c r="J13" i="1" s="1"/>
  <c r="F13" i="1"/>
  <c r="L13" i="1" s="1"/>
  <c r="E13" i="1"/>
  <c r="D13" i="1"/>
  <c r="I12" i="1"/>
  <c r="F12" i="1"/>
  <c r="F20" i="1" s="1"/>
  <c r="F21" i="1" s="1"/>
  <c r="F22" i="1" s="1"/>
  <c r="E12" i="1"/>
  <c r="D12" i="1"/>
  <c r="H11" i="1"/>
  <c r="J11" i="1" s="1"/>
  <c r="E11" i="1"/>
  <c r="G11" i="1" s="1"/>
  <c r="C11" i="1"/>
  <c r="L11" i="1" s="1"/>
  <c r="B11" i="1"/>
  <c r="J10" i="1"/>
  <c r="G10" i="1"/>
  <c r="C10" i="1"/>
  <c r="D10" i="1" s="1"/>
  <c r="B10" i="1"/>
  <c r="K10" i="1" s="1"/>
  <c r="H9" i="1"/>
  <c r="E9" i="1"/>
  <c r="G9" i="1" s="1"/>
  <c r="C9" i="1"/>
  <c r="B9" i="1"/>
  <c r="L8" i="1"/>
  <c r="K8" i="1"/>
  <c r="J8" i="1"/>
  <c r="G8" i="1"/>
  <c r="D8" i="1"/>
  <c r="M80" i="1" l="1"/>
  <c r="L10" i="1"/>
  <c r="M10" i="1" s="1"/>
  <c r="K11" i="1"/>
  <c r="G37" i="1"/>
  <c r="I53" i="1"/>
  <c r="J56" i="1"/>
  <c r="D63" i="1"/>
  <c r="D69" i="1"/>
  <c r="M74" i="1"/>
  <c r="M24" i="1"/>
  <c r="L47" i="1"/>
  <c r="L49" i="1"/>
  <c r="M66" i="1"/>
  <c r="G72" i="1"/>
  <c r="K93" i="1"/>
  <c r="M93" i="1" s="1"/>
  <c r="E105" i="1"/>
  <c r="C20" i="1"/>
  <c r="G13" i="1"/>
  <c r="L19" i="1"/>
  <c r="B42" i="1"/>
  <c r="K36" i="1"/>
  <c r="M36" i="1" s="1"/>
  <c r="J40" i="1"/>
  <c r="J51" i="1"/>
  <c r="M54" i="1"/>
  <c r="F59" i="1"/>
  <c r="J57" i="1"/>
  <c r="G58" i="1"/>
  <c r="L75" i="1"/>
  <c r="D81" i="1"/>
  <c r="J86" i="1"/>
  <c r="J87" i="1"/>
  <c r="D95" i="1"/>
  <c r="F105" i="1"/>
  <c r="L101" i="1"/>
  <c r="L103" i="1"/>
  <c r="M68" i="1"/>
  <c r="C79" i="1"/>
  <c r="M82" i="1"/>
  <c r="M90" i="1"/>
  <c r="M94" i="1"/>
  <c r="L95" i="1"/>
  <c r="M95" i="1" s="1"/>
  <c r="J14" i="1"/>
  <c r="I32" i="1"/>
  <c r="J27" i="1"/>
  <c r="J29" i="1"/>
  <c r="L31" i="1"/>
  <c r="G34" i="1"/>
  <c r="C42" i="1"/>
  <c r="L42" i="1" s="1"/>
  <c r="L36" i="1"/>
  <c r="J36" i="1"/>
  <c r="L37" i="1"/>
  <c r="D38" i="1"/>
  <c r="L41" i="1"/>
  <c r="M41" i="1" s="1"/>
  <c r="J46" i="1"/>
  <c r="J48" i="1"/>
  <c r="J50" i="1"/>
  <c r="L52" i="1"/>
  <c r="H59" i="1"/>
  <c r="J59" i="1" s="1"/>
  <c r="G57" i="1"/>
  <c r="D58" i="1"/>
  <c r="M60" i="1"/>
  <c r="M63" i="1"/>
  <c r="D66" i="1"/>
  <c r="M71" i="1"/>
  <c r="J72" i="1"/>
  <c r="D75" i="1"/>
  <c r="I79" i="1"/>
  <c r="D76" i="1"/>
  <c r="G84" i="1"/>
  <c r="G91" i="1"/>
  <c r="G97" i="1"/>
  <c r="J101" i="1"/>
  <c r="J103" i="1"/>
  <c r="D82" i="1"/>
  <c r="K86" i="1"/>
  <c r="M86" i="1" s="1"/>
  <c r="K96" i="1"/>
  <c r="H105" i="1"/>
  <c r="K16" i="1"/>
  <c r="M16" i="1" s="1"/>
  <c r="K26" i="1"/>
  <c r="D35" i="1"/>
  <c r="K35" i="1"/>
  <c r="L58" i="1"/>
  <c r="M58" i="1" s="1"/>
  <c r="M67" i="1"/>
  <c r="D68" i="1"/>
  <c r="M69" i="1"/>
  <c r="G79" i="1"/>
  <c r="M8" i="1"/>
  <c r="D11" i="1"/>
  <c r="K14" i="1"/>
  <c r="M14" i="1" s="1"/>
  <c r="J15" i="1"/>
  <c r="G19" i="1"/>
  <c r="D26" i="1"/>
  <c r="J26" i="1"/>
  <c r="J28" i="1"/>
  <c r="L35" i="1"/>
  <c r="G40" i="1"/>
  <c r="I42" i="1"/>
  <c r="M43" i="1"/>
  <c r="J45" i="1"/>
  <c r="L46" i="1"/>
  <c r="J47" i="1"/>
  <c r="L48" i="1"/>
  <c r="J49" i="1"/>
  <c r="J52" i="1"/>
  <c r="B59" i="1"/>
  <c r="J58" i="1"/>
  <c r="B70" i="1"/>
  <c r="K70" i="1" s="1"/>
  <c r="K61" i="1"/>
  <c r="K72" i="1"/>
  <c r="K75" i="1"/>
  <c r="M75" i="1" s="1"/>
  <c r="M76" i="1"/>
  <c r="L77" i="1"/>
  <c r="M77" i="1" s="1"/>
  <c r="C98" i="1"/>
  <c r="D98" i="1" s="1"/>
  <c r="L81" i="1"/>
  <c r="E98" i="1"/>
  <c r="L84" i="1"/>
  <c r="M84" i="1" s="1"/>
  <c r="J85" i="1"/>
  <c r="K87" i="1"/>
  <c r="M87" i="1" s="1"/>
  <c r="J88" i="1"/>
  <c r="M89" i="1"/>
  <c r="J93" i="1"/>
  <c r="L96" i="1"/>
  <c r="M96" i="1" s="1"/>
  <c r="L100" i="1"/>
  <c r="I105" i="1"/>
  <c r="L102" i="1"/>
  <c r="J102" i="1"/>
  <c r="L104" i="1"/>
  <c r="M91" i="1"/>
  <c r="M92" i="1"/>
  <c r="M83" i="1"/>
  <c r="M88" i="1"/>
  <c r="C21" i="1"/>
  <c r="K9" i="1"/>
  <c r="D9" i="1"/>
  <c r="C53" i="1"/>
  <c r="L44" i="1"/>
  <c r="M44" i="1" s="1"/>
  <c r="D46" i="1"/>
  <c r="K46" i="1"/>
  <c r="M46" i="1" s="1"/>
  <c r="D48" i="1"/>
  <c r="K48" i="1"/>
  <c r="D49" i="1"/>
  <c r="K49" i="1"/>
  <c r="M49" i="1" s="1"/>
  <c r="K50" i="1"/>
  <c r="D50" i="1"/>
  <c r="L9" i="1"/>
  <c r="M18" i="1"/>
  <c r="B20" i="1"/>
  <c r="L25" i="1"/>
  <c r="E32" i="1"/>
  <c r="G26" i="1"/>
  <c r="C32" i="1"/>
  <c r="L34" i="1"/>
  <c r="M34" i="1" s="1"/>
  <c r="D36" i="1"/>
  <c r="K37" i="1"/>
  <c r="M37" i="1" s="1"/>
  <c r="G38" i="1"/>
  <c r="K38" i="1"/>
  <c r="M38" i="1" s="1"/>
  <c r="L39" i="1"/>
  <c r="L40" i="1"/>
  <c r="D44" i="1"/>
  <c r="J44" i="1"/>
  <c r="L50" i="1"/>
  <c r="E59" i="1"/>
  <c r="G56" i="1"/>
  <c r="K56" i="1"/>
  <c r="G12" i="1"/>
  <c r="K12" i="1"/>
  <c r="H20" i="1"/>
  <c r="J9" i="1"/>
  <c r="K17" i="1"/>
  <c r="M17" i="1" s="1"/>
  <c r="J17" i="1"/>
  <c r="K19" i="1"/>
  <c r="D45" i="1"/>
  <c r="K45" i="1"/>
  <c r="D47" i="1"/>
  <c r="K47" i="1"/>
  <c r="J53" i="1"/>
  <c r="I59" i="1"/>
  <c r="M11" i="1"/>
  <c r="I20" i="1"/>
  <c r="I21" i="1" s="1"/>
  <c r="I22" i="1" s="1"/>
  <c r="L12" i="1"/>
  <c r="E20" i="1"/>
  <c r="J12" i="1"/>
  <c r="K13" i="1"/>
  <c r="M13" i="1" s="1"/>
  <c r="K15" i="1"/>
  <c r="M15" i="1" s="1"/>
  <c r="G18" i="1"/>
  <c r="L26" i="1"/>
  <c r="M26" i="1" s="1"/>
  <c r="L27" i="1"/>
  <c r="L28" i="1"/>
  <c r="L29" i="1"/>
  <c r="G30" i="1"/>
  <c r="K30" i="1"/>
  <c r="M30" i="1" s="1"/>
  <c r="F32" i="1"/>
  <c r="D39" i="1"/>
  <c r="K39" i="1"/>
  <c r="M39" i="1" s="1"/>
  <c r="D40" i="1"/>
  <c r="K40" i="1"/>
  <c r="E42" i="1"/>
  <c r="G42" i="1" s="1"/>
  <c r="E53" i="1"/>
  <c r="G53" i="1" s="1"/>
  <c r="G45" i="1"/>
  <c r="G46" i="1"/>
  <c r="G47" i="1"/>
  <c r="G48" i="1"/>
  <c r="G49" i="1"/>
  <c r="G50" i="1"/>
  <c r="L57" i="1"/>
  <c r="C59" i="1"/>
  <c r="L59" i="1" s="1"/>
  <c r="K25" i="1"/>
  <c r="M25" i="1" s="1"/>
  <c r="H32" i="1"/>
  <c r="J25" i="1"/>
  <c r="D27" i="1"/>
  <c r="K27" i="1"/>
  <c r="M27" i="1" s="1"/>
  <c r="D28" i="1"/>
  <c r="K28" i="1"/>
  <c r="M28" i="1" s="1"/>
  <c r="D29" i="1"/>
  <c r="K29" i="1"/>
  <c r="D31" i="1"/>
  <c r="K31" i="1"/>
  <c r="M31" i="1" s="1"/>
  <c r="H42" i="1"/>
  <c r="F53" i="1"/>
  <c r="L45" i="1"/>
  <c r="K51" i="1"/>
  <c r="M51" i="1" s="1"/>
  <c r="D51" i="1"/>
  <c r="B53" i="1"/>
  <c r="D61" i="1"/>
  <c r="C70" i="1"/>
  <c r="L61" i="1"/>
  <c r="M85" i="1"/>
  <c r="K52" i="1"/>
  <c r="M52" i="1" s="1"/>
  <c r="L55" i="1"/>
  <c r="M55" i="1" s="1"/>
  <c r="D55" i="1"/>
  <c r="K57" i="1"/>
  <c r="M57" i="1" s="1"/>
  <c r="L62" i="1"/>
  <c r="M62" i="1" s="1"/>
  <c r="L64" i="1"/>
  <c r="M64" i="1" s="1"/>
  <c r="D64" i="1"/>
  <c r="J73" i="1"/>
  <c r="G51" i="1"/>
  <c r="I70" i="1"/>
  <c r="J70" i="1" s="1"/>
  <c r="J61" i="1"/>
  <c r="L65" i="1"/>
  <c r="M65" i="1" s="1"/>
  <c r="D65" i="1"/>
  <c r="J79" i="1"/>
  <c r="L79" i="1"/>
  <c r="G98" i="1"/>
  <c r="F70" i="1"/>
  <c r="G70" i="1" s="1"/>
  <c r="D72" i="1"/>
  <c r="L72" i="1"/>
  <c r="M72" i="1" s="1"/>
  <c r="J75" i="1"/>
  <c r="D77" i="1"/>
  <c r="D78" i="1"/>
  <c r="J89" i="1"/>
  <c r="J90" i="1"/>
  <c r="J94" i="1"/>
  <c r="H98" i="1"/>
  <c r="J100" i="1"/>
  <c r="B105" i="1"/>
  <c r="L56" i="1"/>
  <c r="D57" i="1"/>
  <c r="G75" i="1"/>
  <c r="K81" i="1"/>
  <c r="M81" i="1" s="1"/>
  <c r="D83" i="1"/>
  <c r="G92" i="1"/>
  <c r="G93" i="1"/>
  <c r="I98" i="1"/>
  <c r="G100" i="1"/>
  <c r="K100" i="1"/>
  <c r="K101" i="1"/>
  <c r="M101" i="1" s="1"/>
  <c r="K102" i="1"/>
  <c r="M102" i="1" s="1"/>
  <c r="K103" i="1"/>
  <c r="K104" i="1"/>
  <c r="C105" i="1"/>
  <c r="L105" i="1" s="1"/>
  <c r="B73" i="1"/>
  <c r="F73" i="1"/>
  <c r="G73" i="1" s="1"/>
  <c r="B79" i="1"/>
  <c r="G96" i="1"/>
  <c r="M104" i="1" l="1"/>
  <c r="M100" i="1"/>
  <c r="M61" i="1"/>
  <c r="M103" i="1"/>
  <c r="M47" i="1"/>
  <c r="M19" i="1"/>
  <c r="M35" i="1"/>
  <c r="G105" i="1"/>
  <c r="I106" i="1"/>
  <c r="I107" i="1" s="1"/>
  <c r="I108" i="1" s="1"/>
  <c r="K32" i="1"/>
  <c r="D42" i="1"/>
  <c r="L73" i="1"/>
  <c r="J42" i="1"/>
  <c r="M29" i="1"/>
  <c r="M40" i="1"/>
  <c r="M56" i="1"/>
  <c r="M48" i="1"/>
  <c r="J105" i="1"/>
  <c r="B106" i="1"/>
  <c r="L98" i="1"/>
  <c r="H106" i="1"/>
  <c r="J106" i="1" s="1"/>
  <c r="J32" i="1"/>
  <c r="J98" i="1"/>
  <c r="D59" i="1"/>
  <c r="E21" i="1"/>
  <c r="G20" i="1"/>
  <c r="H21" i="1"/>
  <c r="J20" i="1"/>
  <c r="L70" i="1"/>
  <c r="M70" i="1" s="1"/>
  <c r="E106" i="1"/>
  <c r="G32" i="1"/>
  <c r="K79" i="1"/>
  <c r="M79" i="1" s="1"/>
  <c r="D79" i="1"/>
  <c r="K98" i="1"/>
  <c r="K42" i="1"/>
  <c r="M42" i="1" s="1"/>
  <c r="F106" i="1"/>
  <c r="F107" i="1" s="1"/>
  <c r="F108" i="1" s="1"/>
  <c r="M12" i="1"/>
  <c r="G59" i="1"/>
  <c r="K59" i="1"/>
  <c r="M59" i="1" s="1"/>
  <c r="C106" i="1"/>
  <c r="L32" i="1"/>
  <c r="D20" i="1"/>
  <c r="B21" i="1"/>
  <c r="K20" i="1"/>
  <c r="M50" i="1"/>
  <c r="L53" i="1"/>
  <c r="L21" i="1"/>
  <c r="C22" i="1"/>
  <c r="K73" i="1"/>
  <c r="D73" i="1"/>
  <c r="D105" i="1"/>
  <c r="K105" i="1"/>
  <c r="M105" i="1" s="1"/>
  <c r="K53" i="1"/>
  <c r="D53" i="1"/>
  <c r="D70" i="1"/>
  <c r="M45" i="1"/>
  <c r="D32" i="1"/>
  <c r="M9" i="1"/>
  <c r="L20" i="1"/>
  <c r="L106" i="1" l="1"/>
  <c r="M98" i="1"/>
  <c r="M73" i="1"/>
  <c r="M32" i="1"/>
  <c r="C107" i="1"/>
  <c r="L22" i="1"/>
  <c r="E22" i="1"/>
  <c r="G21" i="1"/>
  <c r="H22" i="1"/>
  <c r="J21" i="1"/>
  <c r="D106" i="1"/>
  <c r="M20" i="1"/>
  <c r="D21" i="1"/>
  <c r="B22" i="1"/>
  <c r="K21" i="1"/>
  <c r="M21" i="1" s="1"/>
  <c r="K106" i="1"/>
  <c r="M53" i="1"/>
  <c r="G106" i="1"/>
  <c r="M106" i="1" l="1"/>
  <c r="B107" i="1"/>
  <c r="D22" i="1"/>
  <c r="K22" i="1"/>
  <c r="M22" i="1" s="1"/>
  <c r="H107" i="1"/>
  <c r="J22" i="1"/>
  <c r="E107" i="1"/>
  <c r="G22" i="1"/>
  <c r="L107" i="1"/>
  <c r="C108" i="1"/>
  <c r="L108" i="1" s="1"/>
  <c r="H108" i="1" l="1"/>
  <c r="J108" i="1" s="1"/>
  <c r="J107" i="1"/>
  <c r="E108" i="1"/>
  <c r="G108" i="1" s="1"/>
  <c r="G107" i="1"/>
  <c r="D107" i="1"/>
  <c r="K107" i="1"/>
  <c r="M107" i="1" s="1"/>
  <c r="B108" i="1"/>
  <c r="D108" i="1" l="1"/>
  <c r="K108" i="1"/>
  <c r="M108" i="1" s="1"/>
</calcChain>
</file>

<file path=xl/sharedStrings.xml><?xml version="1.0" encoding="utf-8"?>
<sst xmlns="http://schemas.openxmlformats.org/spreadsheetml/2006/main" count="122" uniqueCount="114">
  <si>
    <t>Church</t>
  </si>
  <si>
    <t>ECE</t>
  </si>
  <si>
    <t>LES</t>
  </si>
  <si>
    <t>TOTAL</t>
  </si>
  <si>
    <t>Actual</t>
  </si>
  <si>
    <t>Budget</t>
  </si>
  <si>
    <t>Income</t>
  </si>
  <si>
    <t xml:space="preserve">   REVENUES</t>
  </si>
  <si>
    <t xml:space="preserve">      10.1000 Envelopes</t>
  </si>
  <si>
    <t xml:space="preserve">      10.2000 Loose Plate</t>
  </si>
  <si>
    <t xml:space="preserve">      10.4000 Other Income</t>
  </si>
  <si>
    <t xml:space="preserve">      20.1000 Registration</t>
  </si>
  <si>
    <t xml:space="preserve">      20.2000 Tuition</t>
  </si>
  <si>
    <t xml:space="preserve">      20.4000 ACSTO</t>
  </si>
  <si>
    <t xml:space="preserve">      20.6000 Other STO</t>
  </si>
  <si>
    <t xml:space="preserve">      20.7000 Raytheon</t>
  </si>
  <si>
    <t xml:space="preserve">      20.8000 Summer Session Tuition</t>
  </si>
  <si>
    <t xml:space="preserve">      30.3000 After Hours Tuition</t>
  </si>
  <si>
    <t xml:space="preserve">      30.4000 Preschool - Summer Session</t>
  </si>
  <si>
    <t xml:space="preserve">   Total REVENUES</t>
  </si>
  <si>
    <t>Total Income</t>
  </si>
  <si>
    <t>Gross Profit</t>
  </si>
  <si>
    <t>Expenses</t>
  </si>
  <si>
    <t xml:space="preserve">   Administration</t>
  </si>
  <si>
    <t xml:space="preserve">      60.7010 Licensing</t>
  </si>
  <si>
    <t xml:space="preserve">      60.7020 WELS Fees</t>
  </si>
  <si>
    <t xml:space="preserve">      60.8020 Supplies</t>
  </si>
  <si>
    <t xml:space="preserve">      60.8030 Payroll Processing</t>
  </si>
  <si>
    <t xml:space="preserve">      60.8040 Bank Charges</t>
  </si>
  <si>
    <t xml:space="preserve">      60.8050 Miscellaneous/CPTL</t>
  </si>
  <si>
    <t xml:space="preserve">      60.8060 Clear View Business Solutions</t>
  </si>
  <si>
    <t xml:space="preserve">   Total Administration</t>
  </si>
  <si>
    <t xml:space="preserve">   Benefits</t>
  </si>
  <si>
    <t xml:space="preserve">      80.4120 Substitutes</t>
  </si>
  <si>
    <t xml:space="preserve">      80.4140 Mileage</t>
  </si>
  <si>
    <t xml:space="preserve">      80.4180 FICA</t>
  </si>
  <si>
    <t xml:space="preserve">      80.4200 Workman's Comp</t>
  </si>
  <si>
    <t xml:space="preserve">      80.4220 Continuing Education</t>
  </si>
  <si>
    <t xml:space="preserve">      80.4230 Conference Expense</t>
  </si>
  <si>
    <t xml:space="preserve">      80.4240 Health Insurance</t>
  </si>
  <si>
    <t xml:space="preserve">      80.4260 Pension</t>
  </si>
  <si>
    <t xml:space="preserve">   Total Benefits</t>
  </si>
  <si>
    <t xml:space="preserve">   Contracts &amp; Maintenance</t>
  </si>
  <si>
    <t xml:space="preserve">      60.6010 Miscellaneous</t>
  </si>
  <si>
    <t xml:space="preserve">      70.1010 Repairs</t>
  </si>
  <si>
    <t xml:space="preserve">      70.1020 Supplies</t>
  </si>
  <si>
    <t xml:space="preserve">      70.2010 Alarm</t>
  </si>
  <si>
    <t xml:space="preserve">      70.2020 Janitorial</t>
  </si>
  <si>
    <t xml:space="preserve">      70.2030 Pest Control</t>
  </si>
  <si>
    <t xml:space="preserve">      70.2040 Office Equipment/Repair</t>
  </si>
  <si>
    <t xml:space="preserve">      70.2050 Insurance</t>
  </si>
  <si>
    <t xml:space="preserve">      70.2060 Software</t>
  </si>
  <si>
    <t xml:space="preserve">   Total Contracts &amp; Maintenance</t>
  </si>
  <si>
    <t xml:space="preserve">   Education</t>
  </si>
  <si>
    <t xml:space="preserve">      60.6130 Advanced Education</t>
  </si>
  <si>
    <t xml:space="preserve">      60.6140 Technology</t>
  </si>
  <si>
    <t xml:space="preserve">      60.6160 Supplies</t>
  </si>
  <si>
    <t xml:space="preserve">      60.7030 Curriculum</t>
  </si>
  <si>
    <t xml:space="preserve">   Total Education</t>
  </si>
  <si>
    <t xml:space="preserve">   Member Care &amp; Worship</t>
  </si>
  <si>
    <t xml:space="preserve">      60.0020 Music support</t>
  </si>
  <si>
    <t xml:space="preserve">      60.0030 Instruments/Tuning</t>
  </si>
  <si>
    <t xml:space="preserve">      60.0040 Organists</t>
  </si>
  <si>
    <t xml:space="preserve">      60.0070 Altar Guild</t>
  </si>
  <si>
    <t xml:space="preserve">      60.0080 Supplies</t>
  </si>
  <si>
    <t xml:space="preserve">      60.3010 Care Committee</t>
  </si>
  <si>
    <t xml:space="preserve">      60.3040 Subscriptions</t>
  </si>
  <si>
    <t xml:space="preserve">      60.4020 CMO 7%</t>
  </si>
  <si>
    <t xml:space="preserve">      60.4030 ALA 3%</t>
  </si>
  <si>
    <t xml:space="preserve">   Total Member Care &amp; Worship</t>
  </si>
  <si>
    <t xml:space="preserve">   Mortgage</t>
  </si>
  <si>
    <t xml:space="preserve">      70.4010 CEF Debt (Interest)</t>
  </si>
  <si>
    <t xml:space="preserve">   Total Mortgage</t>
  </si>
  <si>
    <t xml:space="preserve">   Outreach</t>
  </si>
  <si>
    <t xml:space="preserve">      60.2080 Advertising</t>
  </si>
  <si>
    <t xml:space="preserve">      60.5010 Fellowship</t>
  </si>
  <si>
    <t xml:space="preserve">      60.5020 Supplies</t>
  </si>
  <si>
    <t xml:space="preserve">      60.7120 Events</t>
  </si>
  <si>
    <t xml:space="preserve">   Total Outreach</t>
  </si>
  <si>
    <t xml:space="preserve">   Salaries</t>
  </si>
  <si>
    <t xml:space="preserve">      80.1010 First Pastor</t>
  </si>
  <si>
    <t xml:space="preserve">      80.1020 Second Pastor</t>
  </si>
  <si>
    <t xml:space="preserve">      80.1030 1/2 Winter Pastor</t>
  </si>
  <si>
    <t xml:space="preserve">      80.1040 Director of Education</t>
  </si>
  <si>
    <t xml:space="preserve">      80.2010 7th &amp; 8th Grade Teacher</t>
  </si>
  <si>
    <t xml:space="preserve">      80.2020 5th &amp; 6th Grade Teacher</t>
  </si>
  <si>
    <t xml:space="preserve">      80.2030 3rd &amp; 4th Grade Teacher</t>
  </si>
  <si>
    <t xml:space="preserve">      80.2035 PT 2nd Grade</t>
  </si>
  <si>
    <t xml:space="preserve">      80.2040 1st Grade Teacher</t>
  </si>
  <si>
    <t xml:space="preserve">      80.2050 Kindergarten Teacher</t>
  </si>
  <si>
    <t xml:space="preserve">      80.3010 K4 Teacher</t>
  </si>
  <si>
    <t xml:space="preserve">      80.3015 K4 Teacher, full day</t>
  </si>
  <si>
    <t xml:space="preserve">      80.3020 K3 Teacher</t>
  </si>
  <si>
    <t xml:space="preserve">      80.4010 School Controller</t>
  </si>
  <si>
    <t xml:space="preserve">      80.4020 Church Secretary</t>
  </si>
  <si>
    <t xml:space="preserve">      80.4050 Aides</t>
  </si>
  <si>
    <t xml:space="preserve">      80.4070 Extended Care GF</t>
  </si>
  <si>
    <t xml:space="preserve">   Total Salaries</t>
  </si>
  <si>
    <t xml:space="preserve">   Utilities</t>
  </si>
  <si>
    <t xml:space="preserve">      70.3010 Telephone/Internet</t>
  </si>
  <si>
    <t xml:space="preserve">      70.3020 Southwest Gas</t>
  </si>
  <si>
    <t xml:space="preserve">      70.3030 TEP</t>
  </si>
  <si>
    <t xml:space="preserve">      70.3040 Water</t>
  </si>
  <si>
    <t xml:space="preserve">      70.3050 Trash</t>
  </si>
  <si>
    <t xml:space="preserve">   Total Utilities</t>
  </si>
  <si>
    <t>Total Expenses</t>
  </si>
  <si>
    <t>Net Operating Income</t>
  </si>
  <si>
    <t>Net Income</t>
  </si>
  <si>
    <t>Monday, Jan 28, 2019 10:52:37 AM GMT-8 - Accrual Basis</t>
  </si>
  <si>
    <t>Redeemer Lutheran Church and School</t>
  </si>
  <si>
    <t>Budget vs. Actuals: Redeemer 2018-19 - FY19 P&amp;L  Classes</t>
  </si>
  <si>
    <t>October - December, 2018</t>
  </si>
  <si>
    <t>Variance</t>
  </si>
  <si>
    <t xml:space="preserve">Variance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</si>
</sst>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tabSelected="1" workbookViewId="0">
      <selection activeCell="A107" sqref="A107"/>
    </sheetView>
  </sheetViews>
  <sheetFormatPr defaultRowHeight="14.4" x14ac:dyDescent="0.55000000000000004"/>
  <cols>
    <col min="1" max="1" width="37.83984375" customWidth="1"/>
    <col min="2" max="3" width="10.26171875" customWidth="1"/>
    <col min="4" max="4" width="9.41796875" customWidth="1"/>
    <col min="5" max="5" width="10.26171875" customWidth="1"/>
    <col min="6" max="6" width="11.15625" customWidth="1"/>
    <col min="7" max="8" width="10.26171875" customWidth="1"/>
    <col min="9" max="9" width="11.15625" customWidth="1"/>
    <col min="10" max="12" width="10.26171875" customWidth="1"/>
    <col min="13" max="13" width="11.15625" customWidth="1"/>
  </cols>
  <sheetData>
    <row r="1" spans="1:13" ht="17.7" x14ac:dyDescent="0.6">
      <c r="A1" s="8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7" x14ac:dyDescent="0.6">
      <c r="A2" s="8" t="s">
        <v>110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55000000000000004">
      <c r="A3" s="10" t="s">
        <v>111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55000000000000004">
      <c r="A5" s="1"/>
      <c r="B5" s="11" t="s">
        <v>0</v>
      </c>
      <c r="C5" s="12"/>
      <c r="D5" s="12"/>
      <c r="E5" s="11" t="s">
        <v>1</v>
      </c>
      <c r="F5" s="12"/>
      <c r="G5" s="12"/>
      <c r="H5" s="11" t="s">
        <v>2</v>
      </c>
      <c r="I5" s="12"/>
      <c r="J5" s="12"/>
      <c r="K5" s="11" t="s">
        <v>3</v>
      </c>
      <c r="L5" s="12"/>
      <c r="M5" s="12"/>
    </row>
    <row r="6" spans="1:13" x14ac:dyDescent="0.55000000000000004">
      <c r="A6" s="1"/>
      <c r="B6" s="2" t="s">
        <v>4</v>
      </c>
      <c r="C6" s="2" t="s">
        <v>5</v>
      </c>
      <c r="D6" s="2" t="s">
        <v>112</v>
      </c>
      <c r="E6" s="2" t="s">
        <v>4</v>
      </c>
      <c r="F6" s="2" t="s">
        <v>5</v>
      </c>
      <c r="G6" s="2" t="s">
        <v>113</v>
      </c>
      <c r="H6" s="2" t="s">
        <v>4</v>
      </c>
      <c r="I6" s="2" t="s">
        <v>5</v>
      </c>
      <c r="J6" s="2" t="s">
        <v>113</v>
      </c>
      <c r="K6" s="2" t="s">
        <v>4</v>
      </c>
      <c r="L6" s="2" t="s">
        <v>5</v>
      </c>
      <c r="M6" s="2" t="s">
        <v>113</v>
      </c>
    </row>
    <row r="7" spans="1:13" x14ac:dyDescent="0.55000000000000004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55000000000000004">
      <c r="A8" s="3" t="s">
        <v>7</v>
      </c>
      <c r="B8" s="4"/>
      <c r="C8" s="4"/>
      <c r="D8" s="5">
        <f t="shared" ref="D8:D22" si="0">(B8)-(C8)</f>
        <v>0</v>
      </c>
      <c r="E8" s="4"/>
      <c r="F8" s="4"/>
      <c r="G8" s="5">
        <f t="shared" ref="G8:G22" si="1">(E8)-(F8)</f>
        <v>0</v>
      </c>
      <c r="H8" s="4"/>
      <c r="I8" s="4"/>
      <c r="J8" s="5">
        <f t="shared" ref="J8:J22" si="2">(H8)-(I8)</f>
        <v>0</v>
      </c>
      <c r="K8" s="5">
        <f t="shared" ref="K8:K22" si="3">((B8)+(E8))+(H8)</f>
        <v>0</v>
      </c>
      <c r="L8" s="5">
        <f t="shared" ref="L8:L22" si="4">((C8)+(F8))+(I8)</f>
        <v>0</v>
      </c>
      <c r="M8" s="5">
        <f t="shared" ref="M8:M22" si="5">(K8)-(L8)</f>
        <v>0</v>
      </c>
    </row>
    <row r="9" spans="1:13" x14ac:dyDescent="0.55000000000000004">
      <c r="A9" s="3" t="s">
        <v>8</v>
      </c>
      <c r="B9" s="5">
        <f>153202.03</f>
        <v>153202.03</v>
      </c>
      <c r="C9" s="5">
        <f>115000</f>
        <v>115000</v>
      </c>
      <c r="D9" s="5">
        <f t="shared" si="0"/>
        <v>38202.03</v>
      </c>
      <c r="E9" s="5">
        <f>25000</f>
        <v>25000</v>
      </c>
      <c r="F9" s="4"/>
      <c r="G9" s="5">
        <f t="shared" si="1"/>
        <v>25000</v>
      </c>
      <c r="H9" s="5">
        <f>25000</f>
        <v>25000</v>
      </c>
      <c r="I9" s="4"/>
      <c r="J9" s="5">
        <f t="shared" si="2"/>
        <v>25000</v>
      </c>
      <c r="K9" s="5">
        <f t="shared" si="3"/>
        <v>203202.03</v>
      </c>
      <c r="L9" s="5">
        <f t="shared" si="4"/>
        <v>115000</v>
      </c>
      <c r="M9" s="5">
        <f t="shared" si="5"/>
        <v>88202.03</v>
      </c>
    </row>
    <row r="10" spans="1:13" x14ac:dyDescent="0.55000000000000004">
      <c r="A10" s="3" t="s">
        <v>9</v>
      </c>
      <c r="B10" s="5">
        <f>10614.95</f>
        <v>10614.95</v>
      </c>
      <c r="C10" s="5">
        <f>11500</f>
        <v>11500</v>
      </c>
      <c r="D10" s="5">
        <f t="shared" si="0"/>
        <v>-885.04999999999927</v>
      </c>
      <c r="E10" s="4"/>
      <c r="F10" s="4"/>
      <c r="G10" s="5">
        <f t="shared" si="1"/>
        <v>0</v>
      </c>
      <c r="H10" s="4"/>
      <c r="I10" s="4"/>
      <c r="J10" s="5">
        <f t="shared" si="2"/>
        <v>0</v>
      </c>
      <c r="K10" s="5">
        <f t="shared" si="3"/>
        <v>10614.95</v>
      </c>
      <c r="L10" s="5">
        <f t="shared" si="4"/>
        <v>11500</v>
      </c>
      <c r="M10" s="5">
        <f t="shared" si="5"/>
        <v>-885.04999999999927</v>
      </c>
    </row>
    <row r="11" spans="1:13" x14ac:dyDescent="0.55000000000000004">
      <c r="A11" s="3" t="s">
        <v>10</v>
      </c>
      <c r="B11" s="5">
        <f>20335.08</f>
        <v>20335.080000000002</v>
      </c>
      <c r="C11" s="5">
        <f>7500</f>
        <v>7500</v>
      </c>
      <c r="D11" s="5">
        <f t="shared" si="0"/>
        <v>12835.080000000002</v>
      </c>
      <c r="E11" s="5">
        <f>2975.49</f>
        <v>2975.49</v>
      </c>
      <c r="F11" s="4"/>
      <c r="G11" s="5">
        <f t="shared" si="1"/>
        <v>2975.49</v>
      </c>
      <c r="H11" s="5">
        <f>615.79</f>
        <v>615.79</v>
      </c>
      <c r="I11" s="4"/>
      <c r="J11" s="5">
        <f t="shared" si="2"/>
        <v>615.79</v>
      </c>
      <c r="K11" s="5">
        <f t="shared" si="3"/>
        <v>23926.36</v>
      </c>
      <c r="L11" s="5">
        <f t="shared" si="4"/>
        <v>7500</v>
      </c>
      <c r="M11" s="5">
        <f t="shared" si="5"/>
        <v>16426.36</v>
      </c>
    </row>
    <row r="12" spans="1:13" x14ac:dyDescent="0.55000000000000004">
      <c r="A12" s="3" t="s">
        <v>11</v>
      </c>
      <c r="B12" s="4"/>
      <c r="C12" s="4"/>
      <c r="D12" s="5">
        <f t="shared" si="0"/>
        <v>0</v>
      </c>
      <c r="E12" s="5">
        <f>344.3</f>
        <v>344.3</v>
      </c>
      <c r="F12" s="5">
        <f>300</f>
        <v>300</v>
      </c>
      <c r="G12" s="5">
        <f t="shared" si="1"/>
        <v>44.300000000000011</v>
      </c>
      <c r="H12" s="4"/>
      <c r="I12" s="5">
        <f>200</f>
        <v>200</v>
      </c>
      <c r="J12" s="5">
        <f t="shared" si="2"/>
        <v>-200</v>
      </c>
      <c r="K12" s="5">
        <f t="shared" si="3"/>
        <v>344.3</v>
      </c>
      <c r="L12" s="5">
        <f t="shared" si="4"/>
        <v>500</v>
      </c>
      <c r="M12" s="5">
        <f t="shared" si="5"/>
        <v>-155.69999999999999</v>
      </c>
    </row>
    <row r="13" spans="1:13" x14ac:dyDescent="0.55000000000000004">
      <c r="A13" s="3" t="s">
        <v>12</v>
      </c>
      <c r="B13" s="4"/>
      <c r="C13" s="4"/>
      <c r="D13" s="5">
        <f t="shared" si="0"/>
        <v>0</v>
      </c>
      <c r="E13" s="5">
        <f>100068.45</f>
        <v>100068.45</v>
      </c>
      <c r="F13" s="5">
        <f>38250</f>
        <v>38250</v>
      </c>
      <c r="G13" s="5">
        <f t="shared" si="1"/>
        <v>61818.45</v>
      </c>
      <c r="H13" s="5">
        <f>225561.54</f>
        <v>225561.54</v>
      </c>
      <c r="I13" s="5">
        <f>31000</f>
        <v>31000</v>
      </c>
      <c r="J13" s="5">
        <f t="shared" si="2"/>
        <v>194561.54</v>
      </c>
      <c r="K13" s="5">
        <f t="shared" si="3"/>
        <v>325629.99</v>
      </c>
      <c r="L13" s="5">
        <f t="shared" si="4"/>
        <v>69250</v>
      </c>
      <c r="M13" s="5">
        <f t="shared" si="5"/>
        <v>256379.99</v>
      </c>
    </row>
    <row r="14" spans="1:13" x14ac:dyDescent="0.55000000000000004">
      <c r="A14" s="3" t="s">
        <v>13</v>
      </c>
      <c r="B14" s="4"/>
      <c r="C14" s="4"/>
      <c r="D14" s="5">
        <f t="shared" si="0"/>
        <v>0</v>
      </c>
      <c r="E14" s="4"/>
      <c r="F14" s="4"/>
      <c r="G14" s="5">
        <f t="shared" si="1"/>
        <v>0</v>
      </c>
      <c r="H14" s="5">
        <f>72354.2</f>
        <v>72354.2</v>
      </c>
      <c r="I14" s="5">
        <f>40000</f>
        <v>40000</v>
      </c>
      <c r="J14" s="5">
        <f t="shared" si="2"/>
        <v>32354.199999999997</v>
      </c>
      <c r="K14" s="5">
        <f t="shared" si="3"/>
        <v>72354.2</v>
      </c>
      <c r="L14" s="5">
        <f t="shared" si="4"/>
        <v>40000</v>
      </c>
      <c r="M14" s="5">
        <f t="shared" si="5"/>
        <v>32354.199999999997</v>
      </c>
    </row>
    <row r="15" spans="1:13" x14ac:dyDescent="0.55000000000000004">
      <c r="A15" s="3" t="s">
        <v>14</v>
      </c>
      <c r="B15" s="4"/>
      <c r="C15" s="4"/>
      <c r="D15" s="5">
        <f t="shared" si="0"/>
        <v>0</v>
      </c>
      <c r="E15" s="4"/>
      <c r="F15" s="4"/>
      <c r="G15" s="5">
        <f t="shared" si="1"/>
        <v>0</v>
      </c>
      <c r="H15" s="5">
        <f>15422.08</f>
        <v>15422.08</v>
      </c>
      <c r="I15" s="5">
        <f>37000</f>
        <v>37000</v>
      </c>
      <c r="J15" s="5">
        <f t="shared" si="2"/>
        <v>-21577.919999999998</v>
      </c>
      <c r="K15" s="5">
        <f t="shared" si="3"/>
        <v>15422.08</v>
      </c>
      <c r="L15" s="5">
        <f t="shared" si="4"/>
        <v>37000</v>
      </c>
      <c r="M15" s="5">
        <f t="shared" si="5"/>
        <v>-21577.919999999998</v>
      </c>
    </row>
    <row r="16" spans="1:13" x14ac:dyDescent="0.55000000000000004">
      <c r="A16" s="3" t="s">
        <v>15</v>
      </c>
      <c r="B16" s="4"/>
      <c r="C16" s="4"/>
      <c r="D16" s="5">
        <f t="shared" si="0"/>
        <v>0</v>
      </c>
      <c r="E16" s="4"/>
      <c r="F16" s="4"/>
      <c r="G16" s="5">
        <f t="shared" si="1"/>
        <v>0</v>
      </c>
      <c r="H16" s="5">
        <f>18570</f>
        <v>18570</v>
      </c>
      <c r="I16" s="5">
        <f>15000</f>
        <v>15000</v>
      </c>
      <c r="J16" s="5">
        <f t="shared" si="2"/>
        <v>3570</v>
      </c>
      <c r="K16" s="5">
        <f t="shared" si="3"/>
        <v>18570</v>
      </c>
      <c r="L16" s="5">
        <f t="shared" si="4"/>
        <v>15000</v>
      </c>
      <c r="M16" s="5">
        <f t="shared" si="5"/>
        <v>3570</v>
      </c>
    </row>
    <row r="17" spans="1:13" x14ac:dyDescent="0.55000000000000004">
      <c r="A17" s="3" t="s">
        <v>16</v>
      </c>
      <c r="B17" s="4"/>
      <c r="C17" s="4"/>
      <c r="D17" s="5">
        <f t="shared" si="0"/>
        <v>0</v>
      </c>
      <c r="E17" s="4"/>
      <c r="F17" s="4"/>
      <c r="G17" s="5">
        <f t="shared" si="1"/>
        <v>0</v>
      </c>
      <c r="H17" s="5">
        <f>2250</f>
        <v>2250</v>
      </c>
      <c r="I17" s="4"/>
      <c r="J17" s="5">
        <f t="shared" si="2"/>
        <v>2250</v>
      </c>
      <c r="K17" s="5">
        <f t="shared" si="3"/>
        <v>2250</v>
      </c>
      <c r="L17" s="5">
        <f t="shared" si="4"/>
        <v>0</v>
      </c>
      <c r="M17" s="5">
        <f t="shared" si="5"/>
        <v>2250</v>
      </c>
    </row>
    <row r="18" spans="1:13" x14ac:dyDescent="0.55000000000000004">
      <c r="A18" s="3" t="s">
        <v>17</v>
      </c>
      <c r="B18" s="4"/>
      <c r="C18" s="4"/>
      <c r="D18" s="5">
        <f t="shared" si="0"/>
        <v>0</v>
      </c>
      <c r="E18" s="5">
        <f>1656.15</f>
        <v>1656.15</v>
      </c>
      <c r="F18" s="5">
        <f>6750</f>
        <v>6750</v>
      </c>
      <c r="G18" s="5">
        <f t="shared" si="1"/>
        <v>-5093.8500000000004</v>
      </c>
      <c r="H18" s="5">
        <f>46.4</f>
        <v>46.4</v>
      </c>
      <c r="I18" s="4"/>
      <c r="J18" s="5">
        <f t="shared" si="2"/>
        <v>46.4</v>
      </c>
      <c r="K18" s="5">
        <f t="shared" si="3"/>
        <v>1702.5500000000002</v>
      </c>
      <c r="L18" s="5">
        <f t="shared" si="4"/>
        <v>6750</v>
      </c>
      <c r="M18" s="5">
        <f t="shared" si="5"/>
        <v>-5047.45</v>
      </c>
    </row>
    <row r="19" spans="1:13" x14ac:dyDescent="0.55000000000000004">
      <c r="A19" s="3" t="s">
        <v>18</v>
      </c>
      <c r="B19" s="4"/>
      <c r="C19" s="4"/>
      <c r="D19" s="5">
        <f t="shared" si="0"/>
        <v>0</v>
      </c>
      <c r="E19" s="5">
        <f>2250</f>
        <v>2250</v>
      </c>
      <c r="F19" s="5">
        <f>0</f>
        <v>0</v>
      </c>
      <c r="G19" s="5">
        <f t="shared" si="1"/>
        <v>2250</v>
      </c>
      <c r="H19" s="4"/>
      <c r="I19" s="5">
        <f>0</f>
        <v>0</v>
      </c>
      <c r="J19" s="5">
        <f t="shared" si="2"/>
        <v>0</v>
      </c>
      <c r="K19" s="5">
        <f t="shared" si="3"/>
        <v>2250</v>
      </c>
      <c r="L19" s="5">
        <f t="shared" si="4"/>
        <v>0</v>
      </c>
      <c r="M19" s="5">
        <f t="shared" si="5"/>
        <v>2250</v>
      </c>
    </row>
    <row r="20" spans="1:13" x14ac:dyDescent="0.55000000000000004">
      <c r="A20" s="3" t="s">
        <v>19</v>
      </c>
      <c r="B20" s="6">
        <f>(((((((((((B8)+(B9))+(B10))+(B11))+(B12))+(B13))+(B14))+(B15))+(B16))+(B17))+(B18))+(B19)</f>
        <v>184152.06</v>
      </c>
      <c r="C20" s="6">
        <f>(((((((((((C8)+(C9))+(C10))+(C11))+(C12))+(C13))+(C14))+(C15))+(C16))+(C17))+(C18))+(C19)</f>
        <v>134000</v>
      </c>
      <c r="D20" s="6">
        <f t="shared" si="0"/>
        <v>50152.06</v>
      </c>
      <c r="E20" s="6">
        <f>(((((((((((E8)+(E9))+(E10))+(E11))+(E12))+(E13))+(E14))+(E15))+(E16))+(E17))+(E18))+(E19)</f>
        <v>132294.38999999998</v>
      </c>
      <c r="F20" s="6">
        <f>(((((((((((F8)+(F9))+(F10))+(F11))+(F12))+(F13))+(F14))+(F15))+(F16))+(F17))+(F18))+(F19)</f>
        <v>45300</v>
      </c>
      <c r="G20" s="6">
        <f t="shared" si="1"/>
        <v>86994.389999999985</v>
      </c>
      <c r="H20" s="6">
        <f>(((((((((((H8)+(H9))+(H10))+(H11))+(H12))+(H13))+(H14))+(H15))+(H16))+(H17))+(H18))+(H19)</f>
        <v>359820.01000000007</v>
      </c>
      <c r="I20" s="6">
        <f>(((((((((((I8)+(I9))+(I10))+(I11))+(I12))+(I13))+(I14))+(I15))+(I16))+(I17))+(I18))+(I19)</f>
        <v>123200</v>
      </c>
      <c r="J20" s="6">
        <f t="shared" si="2"/>
        <v>236620.01000000007</v>
      </c>
      <c r="K20" s="6">
        <f t="shared" si="3"/>
        <v>676266.46</v>
      </c>
      <c r="L20" s="6">
        <f t="shared" si="4"/>
        <v>302500</v>
      </c>
      <c r="M20" s="6">
        <f t="shared" si="5"/>
        <v>373766.45999999996</v>
      </c>
    </row>
    <row r="21" spans="1:13" x14ac:dyDescent="0.55000000000000004">
      <c r="A21" s="3" t="s">
        <v>20</v>
      </c>
      <c r="B21" s="6">
        <f>B20</f>
        <v>184152.06</v>
      </c>
      <c r="C21" s="6">
        <f>C20</f>
        <v>134000</v>
      </c>
      <c r="D21" s="6">
        <f t="shared" si="0"/>
        <v>50152.06</v>
      </c>
      <c r="E21" s="6">
        <f>E20</f>
        <v>132294.38999999998</v>
      </c>
      <c r="F21" s="6">
        <f>F20</f>
        <v>45300</v>
      </c>
      <c r="G21" s="6">
        <f t="shared" si="1"/>
        <v>86994.389999999985</v>
      </c>
      <c r="H21" s="6">
        <f>H20</f>
        <v>359820.01000000007</v>
      </c>
      <c r="I21" s="6">
        <f>I20</f>
        <v>123200</v>
      </c>
      <c r="J21" s="6">
        <f t="shared" si="2"/>
        <v>236620.01000000007</v>
      </c>
      <c r="K21" s="6">
        <f t="shared" si="3"/>
        <v>676266.46</v>
      </c>
      <c r="L21" s="6">
        <f t="shared" si="4"/>
        <v>302500</v>
      </c>
      <c r="M21" s="6">
        <f t="shared" si="5"/>
        <v>373766.45999999996</v>
      </c>
    </row>
    <row r="22" spans="1:13" x14ac:dyDescent="0.55000000000000004">
      <c r="A22" s="3" t="s">
        <v>21</v>
      </c>
      <c r="B22" s="6">
        <f>(B21)-(0)</f>
        <v>184152.06</v>
      </c>
      <c r="C22" s="6">
        <f>(C21)-(0)</f>
        <v>134000</v>
      </c>
      <c r="D22" s="6">
        <f t="shared" si="0"/>
        <v>50152.06</v>
      </c>
      <c r="E22" s="6">
        <f>(E21)-(0)</f>
        <v>132294.38999999998</v>
      </c>
      <c r="F22" s="6">
        <f>(F21)-(0)</f>
        <v>45300</v>
      </c>
      <c r="G22" s="6">
        <f t="shared" si="1"/>
        <v>86994.389999999985</v>
      </c>
      <c r="H22" s="6">
        <f>(H21)-(0)</f>
        <v>359820.01000000007</v>
      </c>
      <c r="I22" s="6">
        <f>(I21)-(0)</f>
        <v>123200</v>
      </c>
      <c r="J22" s="6">
        <f t="shared" si="2"/>
        <v>236620.01000000007</v>
      </c>
      <c r="K22" s="6">
        <f t="shared" si="3"/>
        <v>676266.46</v>
      </c>
      <c r="L22" s="6">
        <f t="shared" si="4"/>
        <v>302500</v>
      </c>
      <c r="M22" s="6">
        <f t="shared" si="5"/>
        <v>373766.45999999996</v>
      </c>
    </row>
    <row r="23" spans="1:13" x14ac:dyDescent="0.55000000000000004">
      <c r="A23" s="3" t="s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55000000000000004">
      <c r="A24" s="3" t="s">
        <v>23</v>
      </c>
      <c r="B24" s="4"/>
      <c r="C24" s="4"/>
      <c r="D24" s="5">
        <f t="shared" ref="D24:D55" si="6">(B24)-(C24)</f>
        <v>0</v>
      </c>
      <c r="E24" s="4"/>
      <c r="F24" s="4"/>
      <c r="G24" s="5">
        <f t="shared" ref="G24:G55" si="7">(E24)-(F24)</f>
        <v>0</v>
      </c>
      <c r="H24" s="4"/>
      <c r="I24" s="4"/>
      <c r="J24" s="5">
        <f t="shared" ref="J24:J55" si="8">(H24)-(I24)</f>
        <v>0</v>
      </c>
      <c r="K24" s="5">
        <f t="shared" ref="K24:K55" si="9">((B24)+(E24))+(H24)</f>
        <v>0</v>
      </c>
      <c r="L24" s="5">
        <f t="shared" ref="L24:L55" si="10">((C24)+(F24))+(I24)</f>
        <v>0</v>
      </c>
      <c r="M24" s="5">
        <f t="shared" ref="M24:M55" si="11">(K24)-(L24)</f>
        <v>0</v>
      </c>
    </row>
    <row r="25" spans="1:13" x14ac:dyDescent="0.55000000000000004">
      <c r="A25" s="3" t="s">
        <v>24</v>
      </c>
      <c r="B25" s="4"/>
      <c r="C25" s="4"/>
      <c r="D25" s="5">
        <f t="shared" si="6"/>
        <v>0</v>
      </c>
      <c r="E25" s="4"/>
      <c r="F25" s="4"/>
      <c r="G25" s="5">
        <f t="shared" si="7"/>
        <v>0</v>
      </c>
      <c r="H25" s="5">
        <f>3.02</f>
        <v>3.02</v>
      </c>
      <c r="I25" s="5">
        <f>0</f>
        <v>0</v>
      </c>
      <c r="J25" s="5">
        <f t="shared" si="8"/>
        <v>3.02</v>
      </c>
      <c r="K25" s="5">
        <f t="shared" si="9"/>
        <v>3.02</v>
      </c>
      <c r="L25" s="5">
        <f t="shared" si="10"/>
        <v>0</v>
      </c>
      <c r="M25" s="5">
        <f t="shared" si="11"/>
        <v>3.02</v>
      </c>
    </row>
    <row r="26" spans="1:13" x14ac:dyDescent="0.55000000000000004">
      <c r="A26" s="3" t="s">
        <v>25</v>
      </c>
      <c r="B26" s="5">
        <f>200.34</f>
        <v>200.34</v>
      </c>
      <c r="C26" s="4"/>
      <c r="D26" s="5">
        <f t="shared" si="6"/>
        <v>200.34</v>
      </c>
      <c r="E26" s="5">
        <f>200.34</f>
        <v>200.34</v>
      </c>
      <c r="F26" s="5">
        <f>550</f>
        <v>550</v>
      </c>
      <c r="G26" s="5">
        <f t="shared" si="7"/>
        <v>-349.65999999999997</v>
      </c>
      <c r="H26" s="5">
        <f>400.67</f>
        <v>400.67</v>
      </c>
      <c r="I26" s="5">
        <f>750</f>
        <v>750</v>
      </c>
      <c r="J26" s="5">
        <f t="shared" si="8"/>
        <v>-349.33</v>
      </c>
      <c r="K26" s="5">
        <f t="shared" si="9"/>
        <v>801.35</v>
      </c>
      <c r="L26" s="5">
        <f t="shared" si="10"/>
        <v>1300</v>
      </c>
      <c r="M26" s="5">
        <f t="shared" si="11"/>
        <v>-498.65</v>
      </c>
    </row>
    <row r="27" spans="1:13" x14ac:dyDescent="0.55000000000000004">
      <c r="A27" s="3" t="s">
        <v>26</v>
      </c>
      <c r="B27" s="5">
        <f>502.28</f>
        <v>502.28</v>
      </c>
      <c r="C27" s="5">
        <f>900</f>
        <v>900</v>
      </c>
      <c r="D27" s="5">
        <f t="shared" si="6"/>
        <v>-397.72</v>
      </c>
      <c r="E27" s="5">
        <f>266.7</f>
        <v>266.7</v>
      </c>
      <c r="F27" s="5">
        <f>63</f>
        <v>63</v>
      </c>
      <c r="G27" s="5">
        <f t="shared" si="7"/>
        <v>203.7</v>
      </c>
      <c r="H27" s="5">
        <f>234.32</f>
        <v>234.32</v>
      </c>
      <c r="I27" s="5">
        <f>48</f>
        <v>48</v>
      </c>
      <c r="J27" s="5">
        <f t="shared" si="8"/>
        <v>186.32</v>
      </c>
      <c r="K27" s="5">
        <f t="shared" si="9"/>
        <v>1003.3</v>
      </c>
      <c r="L27" s="5">
        <f t="shared" si="10"/>
        <v>1011</v>
      </c>
      <c r="M27" s="5">
        <f t="shared" si="11"/>
        <v>-7.7000000000000455</v>
      </c>
    </row>
    <row r="28" spans="1:13" x14ac:dyDescent="0.55000000000000004">
      <c r="A28" s="3" t="s">
        <v>27</v>
      </c>
      <c r="B28" s="5">
        <f>225.74</f>
        <v>225.74</v>
      </c>
      <c r="C28" s="5">
        <f>192</f>
        <v>192</v>
      </c>
      <c r="D28" s="5">
        <f t="shared" si="6"/>
        <v>33.740000000000009</v>
      </c>
      <c r="E28" s="5">
        <f>225.74</f>
        <v>225.74</v>
      </c>
      <c r="F28" s="5">
        <f>192</f>
        <v>192</v>
      </c>
      <c r="G28" s="5">
        <f t="shared" si="7"/>
        <v>33.740000000000009</v>
      </c>
      <c r="H28" s="5">
        <f>451.5</f>
        <v>451.5</v>
      </c>
      <c r="I28" s="5">
        <f>387</f>
        <v>387</v>
      </c>
      <c r="J28" s="5">
        <f t="shared" si="8"/>
        <v>64.5</v>
      </c>
      <c r="K28" s="5">
        <f t="shared" si="9"/>
        <v>902.98</v>
      </c>
      <c r="L28" s="5">
        <f t="shared" si="10"/>
        <v>771</v>
      </c>
      <c r="M28" s="5">
        <f t="shared" si="11"/>
        <v>131.98000000000002</v>
      </c>
    </row>
    <row r="29" spans="1:13" x14ac:dyDescent="0.55000000000000004">
      <c r="A29" s="3" t="s">
        <v>28</v>
      </c>
      <c r="B29" s="5">
        <f>622.23</f>
        <v>622.23</v>
      </c>
      <c r="C29" s="5">
        <f>825</f>
        <v>825</v>
      </c>
      <c r="D29" s="5">
        <f t="shared" si="6"/>
        <v>-202.76999999999998</v>
      </c>
      <c r="E29" s="5">
        <f>166.21</f>
        <v>166.21</v>
      </c>
      <c r="F29" s="5">
        <f>225</f>
        <v>225</v>
      </c>
      <c r="G29" s="5">
        <f t="shared" si="7"/>
        <v>-58.789999999999992</v>
      </c>
      <c r="H29" s="5">
        <f>498.64</f>
        <v>498.64</v>
      </c>
      <c r="I29" s="5">
        <f>1470</f>
        <v>1470</v>
      </c>
      <c r="J29" s="5">
        <f t="shared" si="8"/>
        <v>-971.36</v>
      </c>
      <c r="K29" s="5">
        <f t="shared" si="9"/>
        <v>1287.08</v>
      </c>
      <c r="L29" s="5">
        <f t="shared" si="10"/>
        <v>2520</v>
      </c>
      <c r="M29" s="5">
        <f t="shared" si="11"/>
        <v>-1232.92</v>
      </c>
    </row>
    <row r="30" spans="1:13" x14ac:dyDescent="0.55000000000000004">
      <c r="A30" s="3" t="s">
        <v>29</v>
      </c>
      <c r="B30" s="5">
        <f>39</f>
        <v>39</v>
      </c>
      <c r="C30" s="4"/>
      <c r="D30" s="5">
        <f t="shared" si="6"/>
        <v>39</v>
      </c>
      <c r="E30" s="5">
        <f>291.6</f>
        <v>291.60000000000002</v>
      </c>
      <c r="F30" s="5">
        <f>75</f>
        <v>75</v>
      </c>
      <c r="G30" s="5">
        <f t="shared" si="7"/>
        <v>216.60000000000002</v>
      </c>
      <c r="H30" s="5">
        <f>556.14</f>
        <v>556.14</v>
      </c>
      <c r="I30" s="5">
        <f>225</f>
        <v>225</v>
      </c>
      <c r="J30" s="5">
        <f t="shared" si="8"/>
        <v>331.14</v>
      </c>
      <c r="K30" s="5">
        <f t="shared" si="9"/>
        <v>886.74</v>
      </c>
      <c r="L30" s="5">
        <f t="shared" si="10"/>
        <v>300</v>
      </c>
      <c r="M30" s="5">
        <f t="shared" si="11"/>
        <v>586.74</v>
      </c>
    </row>
    <row r="31" spans="1:13" x14ac:dyDescent="0.55000000000000004">
      <c r="A31" s="3" t="s">
        <v>30</v>
      </c>
      <c r="B31" s="5">
        <f>712.5</f>
        <v>712.5</v>
      </c>
      <c r="C31" s="5">
        <f>711</f>
        <v>711</v>
      </c>
      <c r="D31" s="5">
        <f t="shared" si="6"/>
        <v>1.5</v>
      </c>
      <c r="E31" s="5">
        <f>712.5</f>
        <v>712.5</v>
      </c>
      <c r="F31" s="5">
        <f>711</f>
        <v>711</v>
      </c>
      <c r="G31" s="5">
        <f t="shared" si="7"/>
        <v>1.5</v>
      </c>
      <c r="H31" s="5">
        <f>1425</f>
        <v>1425</v>
      </c>
      <c r="I31" s="5">
        <f>1425</f>
        <v>1425</v>
      </c>
      <c r="J31" s="5">
        <f t="shared" si="8"/>
        <v>0</v>
      </c>
      <c r="K31" s="5">
        <f t="shared" si="9"/>
        <v>2850</v>
      </c>
      <c r="L31" s="5">
        <f t="shared" si="10"/>
        <v>2847</v>
      </c>
      <c r="M31" s="5">
        <f t="shared" si="11"/>
        <v>3</v>
      </c>
    </row>
    <row r="32" spans="1:13" x14ac:dyDescent="0.55000000000000004">
      <c r="A32" s="3" t="s">
        <v>31</v>
      </c>
      <c r="B32" s="6">
        <f>(((((((B24)+(B25))+(B26))+(B27))+(B28))+(B29))+(B30))+(B31)</f>
        <v>2302.09</v>
      </c>
      <c r="C32" s="6">
        <f>(((((((C24)+(C25))+(C26))+(C27))+(C28))+(C29))+(C30))+(C31)</f>
        <v>2628</v>
      </c>
      <c r="D32" s="6">
        <f t="shared" si="6"/>
        <v>-325.90999999999985</v>
      </c>
      <c r="E32" s="6">
        <f>(((((((E24)+(E25))+(E26))+(E27))+(E28))+(E29))+(E30))+(E31)</f>
        <v>1863.0900000000001</v>
      </c>
      <c r="F32" s="6">
        <f>(((((((F24)+(F25))+(F26))+(F27))+(F28))+(F29))+(F30))+(F31)</f>
        <v>1816</v>
      </c>
      <c r="G32" s="6">
        <f t="shared" si="7"/>
        <v>47.090000000000146</v>
      </c>
      <c r="H32" s="6">
        <f>(((((((H24)+(H25))+(H26))+(H27))+(H28))+(H29))+(H30))+(H31)</f>
        <v>3569.29</v>
      </c>
      <c r="I32" s="6">
        <f>(((((((I24)+(I25))+(I26))+(I27))+(I28))+(I29))+(I30))+(I31)</f>
        <v>4305</v>
      </c>
      <c r="J32" s="6">
        <f t="shared" si="8"/>
        <v>-735.71</v>
      </c>
      <c r="K32" s="6">
        <f t="shared" si="9"/>
        <v>7734.47</v>
      </c>
      <c r="L32" s="6">
        <f t="shared" si="10"/>
        <v>8749</v>
      </c>
      <c r="M32" s="6">
        <f t="shared" si="11"/>
        <v>-1014.5299999999997</v>
      </c>
    </row>
    <row r="33" spans="1:13" x14ac:dyDescent="0.55000000000000004">
      <c r="A33" s="3" t="s">
        <v>32</v>
      </c>
      <c r="B33" s="4"/>
      <c r="C33" s="4"/>
      <c r="D33" s="5">
        <f t="shared" si="6"/>
        <v>0</v>
      </c>
      <c r="E33" s="4"/>
      <c r="F33" s="4"/>
      <c r="G33" s="5">
        <f t="shared" si="7"/>
        <v>0</v>
      </c>
      <c r="H33" s="4"/>
      <c r="I33" s="4"/>
      <c r="J33" s="5">
        <f t="shared" si="8"/>
        <v>0</v>
      </c>
      <c r="K33" s="5">
        <f t="shared" si="9"/>
        <v>0</v>
      </c>
      <c r="L33" s="5">
        <f t="shared" si="10"/>
        <v>0</v>
      </c>
      <c r="M33" s="5">
        <f t="shared" si="11"/>
        <v>0</v>
      </c>
    </row>
    <row r="34" spans="1:13" x14ac:dyDescent="0.55000000000000004">
      <c r="A34" s="3" t="s">
        <v>33</v>
      </c>
      <c r="B34" s="4"/>
      <c r="C34" s="4"/>
      <c r="D34" s="5">
        <f t="shared" si="6"/>
        <v>0</v>
      </c>
      <c r="E34" s="4"/>
      <c r="F34" s="5">
        <f>123</f>
        <v>123</v>
      </c>
      <c r="G34" s="5">
        <f t="shared" si="7"/>
        <v>-123</v>
      </c>
      <c r="H34" s="4"/>
      <c r="I34" s="5">
        <f>457</f>
        <v>457</v>
      </c>
      <c r="J34" s="5">
        <f t="shared" si="8"/>
        <v>-457</v>
      </c>
      <c r="K34" s="5">
        <f t="shared" si="9"/>
        <v>0</v>
      </c>
      <c r="L34" s="5">
        <f t="shared" si="10"/>
        <v>580</v>
      </c>
      <c r="M34" s="5">
        <f t="shared" si="11"/>
        <v>-580</v>
      </c>
    </row>
    <row r="35" spans="1:13" x14ac:dyDescent="0.55000000000000004">
      <c r="A35" s="3" t="s">
        <v>34</v>
      </c>
      <c r="B35" s="5">
        <f>976.95</f>
        <v>976.95</v>
      </c>
      <c r="C35" s="5">
        <f>1362</f>
        <v>1362</v>
      </c>
      <c r="D35" s="5">
        <f t="shared" si="6"/>
        <v>-385.04999999999995</v>
      </c>
      <c r="E35" s="4"/>
      <c r="F35" s="4"/>
      <c r="G35" s="5">
        <f t="shared" si="7"/>
        <v>0</v>
      </c>
      <c r="H35" s="4"/>
      <c r="I35" s="5">
        <f>25</f>
        <v>25</v>
      </c>
      <c r="J35" s="5">
        <f t="shared" si="8"/>
        <v>-25</v>
      </c>
      <c r="K35" s="5">
        <f t="shared" si="9"/>
        <v>976.95</v>
      </c>
      <c r="L35" s="5">
        <f t="shared" si="10"/>
        <v>1387</v>
      </c>
      <c r="M35" s="5">
        <f t="shared" si="11"/>
        <v>-410.04999999999995</v>
      </c>
    </row>
    <row r="36" spans="1:13" x14ac:dyDescent="0.55000000000000004">
      <c r="A36" s="3" t="s">
        <v>35</v>
      </c>
      <c r="B36" s="5">
        <f>286.86</f>
        <v>286.86</v>
      </c>
      <c r="C36" s="5">
        <f>288</f>
        <v>288</v>
      </c>
      <c r="D36" s="5">
        <f t="shared" si="6"/>
        <v>-1.1399999999999864</v>
      </c>
      <c r="E36" s="5">
        <f>2934.74</f>
        <v>2934.74</v>
      </c>
      <c r="F36" s="5">
        <f>3180</f>
        <v>3180</v>
      </c>
      <c r="G36" s="5">
        <f t="shared" si="7"/>
        <v>-245.26000000000022</v>
      </c>
      <c r="H36" s="5">
        <f>5079.29</f>
        <v>5079.29</v>
      </c>
      <c r="I36" s="5">
        <f>4394</f>
        <v>4394</v>
      </c>
      <c r="J36" s="5">
        <f t="shared" si="8"/>
        <v>685.29</v>
      </c>
      <c r="K36" s="5">
        <f t="shared" si="9"/>
        <v>8300.89</v>
      </c>
      <c r="L36" s="5">
        <f t="shared" si="10"/>
        <v>7862</v>
      </c>
      <c r="M36" s="5">
        <f t="shared" si="11"/>
        <v>438.88999999999942</v>
      </c>
    </row>
    <row r="37" spans="1:13" x14ac:dyDescent="0.55000000000000004">
      <c r="A37" s="3" t="s">
        <v>36</v>
      </c>
      <c r="B37" s="5">
        <f>88.35</f>
        <v>88.35</v>
      </c>
      <c r="C37" s="5">
        <f>93</f>
        <v>93</v>
      </c>
      <c r="D37" s="5">
        <f t="shared" si="6"/>
        <v>-4.6500000000000057</v>
      </c>
      <c r="E37" s="5">
        <f>88.35</f>
        <v>88.35</v>
      </c>
      <c r="F37" s="5">
        <f>93</f>
        <v>93</v>
      </c>
      <c r="G37" s="5">
        <f t="shared" si="7"/>
        <v>-4.6500000000000057</v>
      </c>
      <c r="H37" s="5">
        <f>176.68</f>
        <v>176.68</v>
      </c>
      <c r="I37" s="5">
        <f>186</f>
        <v>186</v>
      </c>
      <c r="J37" s="5">
        <f t="shared" si="8"/>
        <v>-9.3199999999999932</v>
      </c>
      <c r="K37" s="5">
        <f t="shared" si="9"/>
        <v>353.38</v>
      </c>
      <c r="L37" s="5">
        <f t="shared" si="10"/>
        <v>372</v>
      </c>
      <c r="M37" s="5">
        <f t="shared" si="11"/>
        <v>-18.620000000000005</v>
      </c>
    </row>
    <row r="38" spans="1:13" x14ac:dyDescent="0.55000000000000004">
      <c r="A38" s="3" t="s">
        <v>37</v>
      </c>
      <c r="B38" s="4"/>
      <c r="C38" s="5">
        <f>0</f>
        <v>0</v>
      </c>
      <c r="D38" s="5">
        <f t="shared" si="6"/>
        <v>0</v>
      </c>
      <c r="E38" s="5">
        <f>60</f>
        <v>60</v>
      </c>
      <c r="F38" s="5">
        <f>0</f>
        <v>0</v>
      </c>
      <c r="G38" s="5">
        <f t="shared" si="7"/>
        <v>60</v>
      </c>
      <c r="H38" s="4"/>
      <c r="I38" s="5">
        <f>0</f>
        <v>0</v>
      </c>
      <c r="J38" s="5">
        <f t="shared" si="8"/>
        <v>0</v>
      </c>
      <c r="K38" s="5">
        <f t="shared" si="9"/>
        <v>60</v>
      </c>
      <c r="L38" s="5">
        <f t="shared" si="10"/>
        <v>0</v>
      </c>
      <c r="M38" s="5">
        <f t="shared" si="11"/>
        <v>60</v>
      </c>
    </row>
    <row r="39" spans="1:13" x14ac:dyDescent="0.55000000000000004">
      <c r="A39" s="3" t="s">
        <v>38</v>
      </c>
      <c r="B39" s="5">
        <f>279.19</f>
        <v>279.19</v>
      </c>
      <c r="C39" s="5">
        <f>1000</f>
        <v>1000</v>
      </c>
      <c r="D39" s="5">
        <f t="shared" si="6"/>
        <v>-720.81</v>
      </c>
      <c r="E39" s="5">
        <f>292.74</f>
        <v>292.74</v>
      </c>
      <c r="F39" s="5">
        <f>0</f>
        <v>0</v>
      </c>
      <c r="G39" s="5">
        <f t="shared" si="7"/>
        <v>292.74</v>
      </c>
      <c r="H39" s="5">
        <f>763.97</f>
        <v>763.97</v>
      </c>
      <c r="I39" s="5">
        <f>0</f>
        <v>0</v>
      </c>
      <c r="J39" s="5">
        <f t="shared" si="8"/>
        <v>763.97</v>
      </c>
      <c r="K39" s="5">
        <f t="shared" si="9"/>
        <v>1335.9</v>
      </c>
      <c r="L39" s="5">
        <f t="shared" si="10"/>
        <v>1000</v>
      </c>
      <c r="M39" s="5">
        <f t="shared" si="11"/>
        <v>335.90000000000009</v>
      </c>
    </row>
    <row r="40" spans="1:13" x14ac:dyDescent="0.55000000000000004">
      <c r="A40" s="3" t="s">
        <v>39</v>
      </c>
      <c r="B40" s="5">
        <f>-249.72</f>
        <v>-249.72</v>
      </c>
      <c r="C40" s="5">
        <f>2083</f>
        <v>2083</v>
      </c>
      <c r="D40" s="5">
        <f t="shared" si="6"/>
        <v>-2332.7199999999998</v>
      </c>
      <c r="E40" s="5">
        <f>724.56</f>
        <v>724.56</v>
      </c>
      <c r="F40" s="5">
        <f>630</f>
        <v>630</v>
      </c>
      <c r="G40" s="5">
        <f t="shared" si="7"/>
        <v>94.559999999999945</v>
      </c>
      <c r="H40" s="5">
        <f>4447.33</f>
        <v>4447.33</v>
      </c>
      <c r="I40" s="5">
        <f>2714</f>
        <v>2714</v>
      </c>
      <c r="J40" s="5">
        <f t="shared" si="8"/>
        <v>1733.33</v>
      </c>
      <c r="K40" s="5">
        <f t="shared" si="9"/>
        <v>4922.17</v>
      </c>
      <c r="L40" s="5">
        <f t="shared" si="10"/>
        <v>5427</v>
      </c>
      <c r="M40" s="5">
        <f t="shared" si="11"/>
        <v>-504.82999999999993</v>
      </c>
    </row>
    <row r="41" spans="1:13" x14ac:dyDescent="0.55000000000000004">
      <c r="A41" s="3" t="s">
        <v>40</v>
      </c>
      <c r="B41" s="4"/>
      <c r="C41" s="5">
        <f>1944</f>
        <v>1944</v>
      </c>
      <c r="D41" s="5">
        <f t="shared" si="6"/>
        <v>-1944</v>
      </c>
      <c r="E41" s="4"/>
      <c r="F41" s="5">
        <f>1944</f>
        <v>1944</v>
      </c>
      <c r="G41" s="5">
        <f t="shared" si="7"/>
        <v>-1944</v>
      </c>
      <c r="H41" s="4"/>
      <c r="I41" s="5">
        <f>5346</f>
        <v>5346</v>
      </c>
      <c r="J41" s="5">
        <f t="shared" si="8"/>
        <v>-5346</v>
      </c>
      <c r="K41" s="5">
        <f t="shared" si="9"/>
        <v>0</v>
      </c>
      <c r="L41" s="5">
        <f t="shared" si="10"/>
        <v>9234</v>
      </c>
      <c r="M41" s="5">
        <f t="shared" si="11"/>
        <v>-9234</v>
      </c>
    </row>
    <row r="42" spans="1:13" x14ac:dyDescent="0.55000000000000004">
      <c r="A42" s="3" t="s">
        <v>41</v>
      </c>
      <c r="B42" s="6">
        <f>((((((((B33)+(B34))+(B35))+(B36))+(B37))+(B38))+(B39))+(B40))+(B41)</f>
        <v>1381.6299999999999</v>
      </c>
      <c r="C42" s="6">
        <f>((((((((C33)+(C34))+(C35))+(C36))+(C37))+(C38))+(C39))+(C40))+(C41)</f>
        <v>6770</v>
      </c>
      <c r="D42" s="6">
        <f t="shared" si="6"/>
        <v>-5388.37</v>
      </c>
      <c r="E42" s="6">
        <f>((((((((E33)+(E34))+(E35))+(E36))+(E37))+(E38))+(E39))+(E40))+(E41)</f>
        <v>4100.3899999999994</v>
      </c>
      <c r="F42" s="6">
        <f>((((((((F33)+(F34))+(F35))+(F36))+(F37))+(F38))+(F39))+(F40))+(F41)</f>
        <v>5970</v>
      </c>
      <c r="G42" s="6">
        <f t="shared" si="7"/>
        <v>-1869.6100000000006</v>
      </c>
      <c r="H42" s="6">
        <f>((((((((H33)+(H34))+(H35))+(H36))+(H37))+(H38))+(H39))+(H40))+(H41)</f>
        <v>10467.27</v>
      </c>
      <c r="I42" s="6">
        <f>((((((((I33)+(I34))+(I35))+(I36))+(I37))+(I38))+(I39))+(I40))+(I41)</f>
        <v>13122</v>
      </c>
      <c r="J42" s="6">
        <f t="shared" si="8"/>
        <v>-2654.7299999999996</v>
      </c>
      <c r="K42" s="6">
        <f t="shared" si="9"/>
        <v>15949.29</v>
      </c>
      <c r="L42" s="6">
        <f t="shared" si="10"/>
        <v>25862</v>
      </c>
      <c r="M42" s="6">
        <f t="shared" si="11"/>
        <v>-9912.7099999999991</v>
      </c>
    </row>
    <row r="43" spans="1:13" x14ac:dyDescent="0.55000000000000004">
      <c r="A43" s="3" t="s">
        <v>42</v>
      </c>
      <c r="B43" s="4"/>
      <c r="C43" s="4"/>
      <c r="D43" s="5">
        <f t="shared" si="6"/>
        <v>0</v>
      </c>
      <c r="E43" s="4"/>
      <c r="F43" s="4"/>
      <c r="G43" s="5">
        <f t="shared" si="7"/>
        <v>0</v>
      </c>
      <c r="H43" s="4"/>
      <c r="I43" s="4"/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si="11"/>
        <v>0</v>
      </c>
    </row>
    <row r="44" spans="1:13" x14ac:dyDescent="0.55000000000000004">
      <c r="A44" s="3" t="s">
        <v>43</v>
      </c>
      <c r="B44" s="4"/>
      <c r="C44" s="5">
        <f>375</f>
        <v>375</v>
      </c>
      <c r="D44" s="5">
        <f t="shared" si="6"/>
        <v>-375</v>
      </c>
      <c r="E44" s="4"/>
      <c r="F44" s="5">
        <f>375</f>
        <v>375</v>
      </c>
      <c r="G44" s="5">
        <f t="shared" si="7"/>
        <v>-375</v>
      </c>
      <c r="H44" s="4"/>
      <c r="I44" s="5">
        <f>750</f>
        <v>750</v>
      </c>
      <c r="J44" s="5">
        <f t="shared" si="8"/>
        <v>-750</v>
      </c>
      <c r="K44" s="5">
        <f t="shared" si="9"/>
        <v>0</v>
      </c>
      <c r="L44" s="5">
        <f t="shared" si="10"/>
        <v>1500</v>
      </c>
      <c r="M44" s="5">
        <f t="shared" si="11"/>
        <v>-1500</v>
      </c>
    </row>
    <row r="45" spans="1:13" x14ac:dyDescent="0.55000000000000004">
      <c r="A45" s="3" t="s">
        <v>44</v>
      </c>
      <c r="B45" s="5">
        <f>158.63</f>
        <v>158.63</v>
      </c>
      <c r="C45" s="5">
        <f>2250</f>
        <v>2250</v>
      </c>
      <c r="D45" s="5">
        <f t="shared" si="6"/>
        <v>-2091.37</v>
      </c>
      <c r="E45" s="5">
        <f>26.36</f>
        <v>26.36</v>
      </c>
      <c r="F45" s="5">
        <f>2250</f>
        <v>2250</v>
      </c>
      <c r="G45" s="5">
        <f t="shared" si="7"/>
        <v>-2223.64</v>
      </c>
      <c r="H45" s="5">
        <f>832.55</f>
        <v>832.55</v>
      </c>
      <c r="I45" s="5">
        <f>4500</f>
        <v>4500</v>
      </c>
      <c r="J45" s="5">
        <f t="shared" si="8"/>
        <v>-3667.45</v>
      </c>
      <c r="K45" s="5">
        <f t="shared" si="9"/>
        <v>1017.54</v>
      </c>
      <c r="L45" s="5">
        <f t="shared" si="10"/>
        <v>9000</v>
      </c>
      <c r="M45" s="5">
        <f t="shared" si="11"/>
        <v>-7982.46</v>
      </c>
    </row>
    <row r="46" spans="1:13" x14ac:dyDescent="0.55000000000000004">
      <c r="A46" s="3" t="s">
        <v>45</v>
      </c>
      <c r="B46" s="5">
        <f>-1.16</f>
        <v>-1.1599999999999999</v>
      </c>
      <c r="C46" s="5">
        <f>312</f>
        <v>312</v>
      </c>
      <c r="D46" s="5">
        <f t="shared" si="6"/>
        <v>-313.16000000000003</v>
      </c>
      <c r="E46" s="5">
        <f>35.49</f>
        <v>35.49</v>
      </c>
      <c r="F46" s="5">
        <f>312</f>
        <v>312</v>
      </c>
      <c r="G46" s="5">
        <f t="shared" si="7"/>
        <v>-276.51</v>
      </c>
      <c r="H46" s="5">
        <f>2.32</f>
        <v>2.3199999999999998</v>
      </c>
      <c r="I46" s="5">
        <f>624</f>
        <v>624</v>
      </c>
      <c r="J46" s="5">
        <f t="shared" si="8"/>
        <v>-621.67999999999995</v>
      </c>
      <c r="K46" s="5">
        <f t="shared" si="9"/>
        <v>36.650000000000006</v>
      </c>
      <c r="L46" s="5">
        <f t="shared" si="10"/>
        <v>1248</v>
      </c>
      <c r="M46" s="5">
        <f t="shared" si="11"/>
        <v>-1211.3499999999999</v>
      </c>
    </row>
    <row r="47" spans="1:13" x14ac:dyDescent="0.55000000000000004">
      <c r="A47" s="3" t="s">
        <v>46</v>
      </c>
      <c r="B47" s="5">
        <f>24</f>
        <v>24</v>
      </c>
      <c r="C47" s="5">
        <f>45</f>
        <v>45</v>
      </c>
      <c r="D47" s="5">
        <f t="shared" si="6"/>
        <v>-21</v>
      </c>
      <c r="E47" s="5">
        <f>24</f>
        <v>24</v>
      </c>
      <c r="F47" s="5">
        <f>45</f>
        <v>45</v>
      </c>
      <c r="G47" s="5">
        <f t="shared" si="7"/>
        <v>-21</v>
      </c>
      <c r="H47" s="5">
        <f>48</f>
        <v>48</v>
      </c>
      <c r="I47" s="5">
        <f>93</f>
        <v>93</v>
      </c>
      <c r="J47" s="5">
        <f t="shared" si="8"/>
        <v>-45</v>
      </c>
      <c r="K47" s="5">
        <f t="shared" si="9"/>
        <v>96</v>
      </c>
      <c r="L47" s="5">
        <f t="shared" si="10"/>
        <v>183</v>
      </c>
      <c r="M47" s="5">
        <f t="shared" si="11"/>
        <v>-87</v>
      </c>
    </row>
    <row r="48" spans="1:13" x14ac:dyDescent="0.55000000000000004">
      <c r="A48" s="3" t="s">
        <v>47</v>
      </c>
      <c r="B48" s="5">
        <f>641.96</f>
        <v>641.96</v>
      </c>
      <c r="C48" s="5">
        <f>750</f>
        <v>750</v>
      </c>
      <c r="D48" s="5">
        <f t="shared" si="6"/>
        <v>-108.03999999999996</v>
      </c>
      <c r="E48" s="5">
        <f>641.96</f>
        <v>641.96</v>
      </c>
      <c r="F48" s="5">
        <f>750</f>
        <v>750</v>
      </c>
      <c r="G48" s="5">
        <f t="shared" si="7"/>
        <v>-108.03999999999996</v>
      </c>
      <c r="H48" s="5">
        <f>1283.9</f>
        <v>1283.9000000000001</v>
      </c>
      <c r="I48" s="5">
        <f>1500</f>
        <v>1500</v>
      </c>
      <c r="J48" s="5">
        <f t="shared" si="8"/>
        <v>-216.09999999999991</v>
      </c>
      <c r="K48" s="5">
        <f t="shared" si="9"/>
        <v>2567.8200000000002</v>
      </c>
      <c r="L48" s="5">
        <f t="shared" si="10"/>
        <v>3000</v>
      </c>
      <c r="M48" s="5">
        <f t="shared" si="11"/>
        <v>-432.17999999999984</v>
      </c>
    </row>
    <row r="49" spans="1:13" x14ac:dyDescent="0.55000000000000004">
      <c r="A49" s="3" t="s">
        <v>48</v>
      </c>
      <c r="B49" s="5">
        <f>31</f>
        <v>31</v>
      </c>
      <c r="C49" s="5">
        <f>61</f>
        <v>61</v>
      </c>
      <c r="D49" s="5">
        <f t="shared" si="6"/>
        <v>-30</v>
      </c>
      <c r="E49" s="5">
        <f>31</f>
        <v>31</v>
      </c>
      <c r="F49" s="5">
        <f>61</f>
        <v>61</v>
      </c>
      <c r="G49" s="5">
        <f t="shared" si="7"/>
        <v>-30</v>
      </c>
      <c r="H49" s="5">
        <f>62</f>
        <v>62</v>
      </c>
      <c r="I49" s="5">
        <f>123</f>
        <v>123</v>
      </c>
      <c r="J49" s="5">
        <f t="shared" si="8"/>
        <v>-61</v>
      </c>
      <c r="K49" s="5">
        <f t="shared" si="9"/>
        <v>124</v>
      </c>
      <c r="L49" s="5">
        <f t="shared" si="10"/>
        <v>245</v>
      </c>
      <c r="M49" s="5">
        <f t="shared" si="11"/>
        <v>-121</v>
      </c>
    </row>
    <row r="50" spans="1:13" x14ac:dyDescent="0.55000000000000004">
      <c r="A50" s="3" t="s">
        <v>49</v>
      </c>
      <c r="B50" s="5">
        <f>1784.38</f>
        <v>1784.38</v>
      </c>
      <c r="C50" s="5">
        <f>561</f>
        <v>561</v>
      </c>
      <c r="D50" s="5">
        <f t="shared" si="6"/>
        <v>1223.3800000000001</v>
      </c>
      <c r="E50" s="5">
        <f>1333.18</f>
        <v>1333.18</v>
      </c>
      <c r="F50" s="5">
        <f>561</f>
        <v>561</v>
      </c>
      <c r="G50" s="5">
        <f t="shared" si="7"/>
        <v>772.18000000000006</v>
      </c>
      <c r="H50" s="5">
        <f>2666.33</f>
        <v>2666.33</v>
      </c>
      <c r="I50" s="5">
        <f>1125</f>
        <v>1125</v>
      </c>
      <c r="J50" s="5">
        <f t="shared" si="8"/>
        <v>1541.33</v>
      </c>
      <c r="K50" s="5">
        <f t="shared" si="9"/>
        <v>5783.89</v>
      </c>
      <c r="L50" s="5">
        <f t="shared" si="10"/>
        <v>2247</v>
      </c>
      <c r="M50" s="5">
        <f t="shared" si="11"/>
        <v>3536.8900000000003</v>
      </c>
    </row>
    <row r="51" spans="1:13" x14ac:dyDescent="0.55000000000000004">
      <c r="A51" s="3" t="s">
        <v>50</v>
      </c>
      <c r="B51" s="5">
        <f>-260.41</f>
        <v>-260.41000000000003</v>
      </c>
      <c r="C51" s="5">
        <f>873</f>
        <v>873</v>
      </c>
      <c r="D51" s="5">
        <f t="shared" si="6"/>
        <v>-1133.4100000000001</v>
      </c>
      <c r="E51" s="5">
        <f>-260.42</f>
        <v>-260.42</v>
      </c>
      <c r="F51" s="5">
        <f>873</f>
        <v>873</v>
      </c>
      <c r="G51" s="5">
        <f t="shared" si="7"/>
        <v>-1133.42</v>
      </c>
      <c r="H51" s="5">
        <f>-520.87</f>
        <v>-520.87</v>
      </c>
      <c r="I51" s="5">
        <f>1749</f>
        <v>1749</v>
      </c>
      <c r="J51" s="5">
        <f t="shared" si="8"/>
        <v>-2269.87</v>
      </c>
      <c r="K51" s="5">
        <f t="shared" si="9"/>
        <v>-1041.7</v>
      </c>
      <c r="L51" s="5">
        <f t="shared" si="10"/>
        <v>3495</v>
      </c>
      <c r="M51" s="5">
        <f t="shared" si="11"/>
        <v>-4536.7</v>
      </c>
    </row>
    <row r="52" spans="1:13" x14ac:dyDescent="0.55000000000000004">
      <c r="A52" s="3" t="s">
        <v>51</v>
      </c>
      <c r="B52" s="5">
        <f>48.87</f>
        <v>48.87</v>
      </c>
      <c r="C52" s="5">
        <f>253</f>
        <v>253</v>
      </c>
      <c r="D52" s="5">
        <f t="shared" si="6"/>
        <v>-204.13</v>
      </c>
      <c r="E52" s="5">
        <f>48.87</f>
        <v>48.87</v>
      </c>
      <c r="F52" s="5">
        <f>954</f>
        <v>954</v>
      </c>
      <c r="G52" s="5">
        <f t="shared" si="7"/>
        <v>-905.13</v>
      </c>
      <c r="H52" s="5">
        <f>622.74</f>
        <v>622.74</v>
      </c>
      <c r="I52" s="5">
        <f>1908</f>
        <v>1908</v>
      </c>
      <c r="J52" s="5">
        <f t="shared" si="8"/>
        <v>-1285.26</v>
      </c>
      <c r="K52" s="5">
        <f t="shared" si="9"/>
        <v>720.48</v>
      </c>
      <c r="L52" s="5">
        <f t="shared" si="10"/>
        <v>3115</v>
      </c>
      <c r="M52" s="5">
        <f t="shared" si="11"/>
        <v>-2394.52</v>
      </c>
    </row>
    <row r="53" spans="1:13" x14ac:dyDescent="0.55000000000000004">
      <c r="A53" s="3" t="s">
        <v>52</v>
      </c>
      <c r="B53" s="6">
        <f>(((((((((B43)+(B44))+(B45))+(B46))+(B47))+(B48))+(B49))+(B50))+(B51))+(B52)</f>
        <v>2427.2700000000004</v>
      </c>
      <c r="C53" s="6">
        <f>(((((((((C43)+(C44))+(C45))+(C46))+(C47))+(C48))+(C49))+(C50))+(C51))+(C52)</f>
        <v>5480</v>
      </c>
      <c r="D53" s="6">
        <f t="shared" si="6"/>
        <v>-3052.7299999999996</v>
      </c>
      <c r="E53" s="6">
        <f>(((((((((E43)+(E44))+(E45))+(E46))+(E47))+(E48))+(E49))+(E50))+(E51))+(E52)</f>
        <v>1880.44</v>
      </c>
      <c r="F53" s="6">
        <f>(((((((((F43)+(F44))+(F45))+(F46))+(F47))+(F48))+(F49))+(F50))+(F51))+(F52)</f>
        <v>6181</v>
      </c>
      <c r="G53" s="6">
        <f t="shared" si="7"/>
        <v>-4300.5599999999995</v>
      </c>
      <c r="H53" s="6">
        <f>(((((((((H43)+(H44))+(H45))+(H46))+(H47))+(H48))+(H49))+(H50))+(H51))+(H52)</f>
        <v>4996.97</v>
      </c>
      <c r="I53" s="6">
        <f>(((((((((I43)+(I44))+(I45))+(I46))+(I47))+(I48))+(I49))+(I50))+(I51))+(I52)</f>
        <v>12372</v>
      </c>
      <c r="J53" s="6">
        <f t="shared" si="8"/>
        <v>-7375.03</v>
      </c>
      <c r="K53" s="6">
        <f t="shared" si="9"/>
        <v>9304.68</v>
      </c>
      <c r="L53" s="6">
        <f t="shared" si="10"/>
        <v>24033</v>
      </c>
      <c r="M53" s="6">
        <f t="shared" si="11"/>
        <v>-14728.32</v>
      </c>
    </row>
    <row r="54" spans="1:13" x14ac:dyDescent="0.55000000000000004">
      <c r="A54" s="3" t="s">
        <v>53</v>
      </c>
      <c r="B54" s="4"/>
      <c r="C54" s="4"/>
      <c r="D54" s="5">
        <f t="shared" si="6"/>
        <v>0</v>
      </c>
      <c r="E54" s="4"/>
      <c r="F54" s="4"/>
      <c r="G54" s="5">
        <f t="shared" si="7"/>
        <v>0</v>
      </c>
      <c r="H54" s="4"/>
      <c r="I54" s="4"/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</row>
    <row r="55" spans="1:13" x14ac:dyDescent="0.55000000000000004">
      <c r="A55" s="3" t="s">
        <v>54</v>
      </c>
      <c r="B55" s="4"/>
      <c r="C55" s="5">
        <f>2000</f>
        <v>2000</v>
      </c>
      <c r="D55" s="5">
        <f t="shared" si="6"/>
        <v>-2000</v>
      </c>
      <c r="E55" s="4"/>
      <c r="F55" s="4"/>
      <c r="G55" s="5">
        <f t="shared" si="7"/>
        <v>0</v>
      </c>
      <c r="H55" s="4"/>
      <c r="I55" s="4"/>
      <c r="J55" s="5">
        <f t="shared" si="8"/>
        <v>0</v>
      </c>
      <c r="K55" s="5">
        <f t="shared" si="9"/>
        <v>0</v>
      </c>
      <c r="L55" s="5">
        <f t="shared" si="10"/>
        <v>2000</v>
      </c>
      <c r="M55" s="5">
        <f t="shared" si="11"/>
        <v>-2000</v>
      </c>
    </row>
    <row r="56" spans="1:13" x14ac:dyDescent="0.55000000000000004">
      <c r="A56" s="3" t="s">
        <v>55</v>
      </c>
      <c r="B56" s="4"/>
      <c r="C56" s="4"/>
      <c r="D56" s="5">
        <f t="shared" ref="D56:D87" si="12">(B56)-(C56)</f>
        <v>0</v>
      </c>
      <c r="E56" s="5">
        <f>114.56</f>
        <v>114.56</v>
      </c>
      <c r="F56" s="5">
        <f>0</f>
        <v>0</v>
      </c>
      <c r="G56" s="5">
        <f t="shared" ref="G56:G87" si="13">(E56)-(F56)</f>
        <v>114.56</v>
      </c>
      <c r="H56" s="5">
        <f>107.67</f>
        <v>107.67</v>
      </c>
      <c r="I56" s="5">
        <f>1300</f>
        <v>1300</v>
      </c>
      <c r="J56" s="5">
        <f t="shared" ref="J56:J87" si="14">(H56)-(I56)</f>
        <v>-1192.33</v>
      </c>
      <c r="K56" s="5">
        <f t="shared" ref="K56:K87" si="15">((B56)+(E56))+(H56)</f>
        <v>222.23000000000002</v>
      </c>
      <c r="L56" s="5">
        <f t="shared" ref="L56:L87" si="16">((C56)+(F56))+(I56)</f>
        <v>1300</v>
      </c>
      <c r="M56" s="5">
        <f t="shared" ref="M56:M87" si="17">(K56)-(L56)</f>
        <v>-1077.77</v>
      </c>
    </row>
    <row r="57" spans="1:13" x14ac:dyDescent="0.55000000000000004">
      <c r="A57" s="3" t="s">
        <v>56</v>
      </c>
      <c r="B57" s="5">
        <f>812.75</f>
        <v>812.75</v>
      </c>
      <c r="C57" s="5">
        <f>549</f>
        <v>549</v>
      </c>
      <c r="D57" s="5">
        <f t="shared" si="12"/>
        <v>263.75</v>
      </c>
      <c r="E57" s="5">
        <f>819.14</f>
        <v>819.14</v>
      </c>
      <c r="F57" s="5">
        <f>1248</f>
        <v>1248</v>
      </c>
      <c r="G57" s="5">
        <f t="shared" si="13"/>
        <v>-428.86</v>
      </c>
      <c r="H57" s="5">
        <f>1289.72</f>
        <v>1289.72</v>
      </c>
      <c r="I57" s="5">
        <f>999</f>
        <v>999</v>
      </c>
      <c r="J57" s="5">
        <f t="shared" si="14"/>
        <v>290.72000000000003</v>
      </c>
      <c r="K57" s="5">
        <f t="shared" si="15"/>
        <v>2921.6099999999997</v>
      </c>
      <c r="L57" s="5">
        <f t="shared" si="16"/>
        <v>2796</v>
      </c>
      <c r="M57" s="5">
        <f t="shared" si="17"/>
        <v>125.60999999999967</v>
      </c>
    </row>
    <row r="58" spans="1:13" x14ac:dyDescent="0.55000000000000004">
      <c r="A58" s="3" t="s">
        <v>57</v>
      </c>
      <c r="B58" s="5">
        <f>889.55</f>
        <v>889.55</v>
      </c>
      <c r="C58" s="5">
        <f>500</f>
        <v>500</v>
      </c>
      <c r="D58" s="5">
        <f t="shared" si="12"/>
        <v>389.54999999999995</v>
      </c>
      <c r="E58" s="5">
        <f>820.1</f>
        <v>820.1</v>
      </c>
      <c r="F58" s="5">
        <f>600</f>
        <v>600</v>
      </c>
      <c r="G58" s="5">
        <f t="shared" si="13"/>
        <v>220.10000000000002</v>
      </c>
      <c r="H58" s="5">
        <f>3670.71</f>
        <v>3670.71</v>
      </c>
      <c r="I58" s="5">
        <f>1500</f>
        <v>1500</v>
      </c>
      <c r="J58" s="5">
        <f t="shared" si="14"/>
        <v>2170.71</v>
      </c>
      <c r="K58" s="5">
        <f t="shared" si="15"/>
        <v>5380.3600000000006</v>
      </c>
      <c r="L58" s="5">
        <f t="shared" si="16"/>
        <v>2600</v>
      </c>
      <c r="M58" s="5">
        <f t="shared" si="17"/>
        <v>2780.3600000000006</v>
      </c>
    </row>
    <row r="59" spans="1:13" x14ac:dyDescent="0.55000000000000004">
      <c r="A59" s="3" t="s">
        <v>58</v>
      </c>
      <c r="B59" s="6">
        <f>((((B54)+(B55))+(B56))+(B57))+(B58)</f>
        <v>1702.3</v>
      </c>
      <c r="C59" s="6">
        <f>((((C54)+(C55))+(C56))+(C57))+(C58)</f>
        <v>3049</v>
      </c>
      <c r="D59" s="6">
        <f t="shared" si="12"/>
        <v>-1346.7</v>
      </c>
      <c r="E59" s="6">
        <f>((((E54)+(E55))+(E56))+(E57))+(E58)</f>
        <v>1753.8000000000002</v>
      </c>
      <c r="F59" s="6">
        <f>((((F54)+(F55))+(F56))+(F57))+(F58)</f>
        <v>1848</v>
      </c>
      <c r="G59" s="6">
        <f t="shared" si="13"/>
        <v>-94.199999999999818</v>
      </c>
      <c r="H59" s="6">
        <f>((((H54)+(H55))+(H56))+(H57))+(H58)</f>
        <v>5068.1000000000004</v>
      </c>
      <c r="I59" s="6">
        <f>((((I54)+(I55))+(I56))+(I57))+(I58)</f>
        <v>3799</v>
      </c>
      <c r="J59" s="6">
        <f t="shared" si="14"/>
        <v>1269.1000000000004</v>
      </c>
      <c r="K59" s="6">
        <f t="shared" si="15"/>
        <v>8524.2000000000007</v>
      </c>
      <c r="L59" s="6">
        <f t="shared" si="16"/>
        <v>8696</v>
      </c>
      <c r="M59" s="6">
        <f t="shared" si="17"/>
        <v>-171.79999999999927</v>
      </c>
    </row>
    <row r="60" spans="1:13" x14ac:dyDescent="0.55000000000000004">
      <c r="A60" s="3" t="s">
        <v>59</v>
      </c>
      <c r="B60" s="4"/>
      <c r="C60" s="4"/>
      <c r="D60" s="5">
        <f t="shared" si="12"/>
        <v>0</v>
      </c>
      <c r="E60" s="4"/>
      <c r="F60" s="4"/>
      <c r="G60" s="5">
        <f t="shared" si="13"/>
        <v>0</v>
      </c>
      <c r="H60" s="4"/>
      <c r="I60" s="4"/>
      <c r="J60" s="5">
        <f t="shared" si="14"/>
        <v>0</v>
      </c>
      <c r="K60" s="5">
        <f t="shared" si="15"/>
        <v>0</v>
      </c>
      <c r="L60" s="5">
        <f t="shared" si="16"/>
        <v>0</v>
      </c>
      <c r="M60" s="5">
        <f t="shared" si="17"/>
        <v>0</v>
      </c>
    </row>
    <row r="61" spans="1:13" x14ac:dyDescent="0.55000000000000004">
      <c r="A61" s="3" t="s">
        <v>60</v>
      </c>
      <c r="B61" s="5">
        <f>572.59</f>
        <v>572.59</v>
      </c>
      <c r="C61" s="5">
        <f>750</f>
        <v>750</v>
      </c>
      <c r="D61" s="5">
        <f t="shared" si="12"/>
        <v>-177.40999999999997</v>
      </c>
      <c r="E61" s="4"/>
      <c r="F61" s="5">
        <f>350</f>
        <v>350</v>
      </c>
      <c r="G61" s="5">
        <f t="shared" si="13"/>
        <v>-350</v>
      </c>
      <c r="H61" s="4"/>
      <c r="I61" s="5">
        <f>123</f>
        <v>123</v>
      </c>
      <c r="J61" s="5">
        <f t="shared" si="14"/>
        <v>-123</v>
      </c>
      <c r="K61" s="5">
        <f t="shared" si="15"/>
        <v>572.59</v>
      </c>
      <c r="L61" s="5">
        <f t="shared" si="16"/>
        <v>1223</v>
      </c>
      <c r="M61" s="5">
        <f t="shared" si="17"/>
        <v>-650.41</v>
      </c>
    </row>
    <row r="62" spans="1:13" x14ac:dyDescent="0.55000000000000004">
      <c r="A62" s="3" t="s">
        <v>61</v>
      </c>
      <c r="B62" s="4"/>
      <c r="C62" s="5">
        <f>500</f>
        <v>500</v>
      </c>
      <c r="D62" s="5">
        <f t="shared" si="12"/>
        <v>-500</v>
      </c>
      <c r="E62" s="4"/>
      <c r="F62" s="4"/>
      <c r="G62" s="5">
        <f t="shared" si="13"/>
        <v>0</v>
      </c>
      <c r="H62" s="4"/>
      <c r="I62" s="5">
        <f>500</f>
        <v>500</v>
      </c>
      <c r="J62" s="5">
        <f t="shared" si="14"/>
        <v>-500</v>
      </c>
      <c r="K62" s="5">
        <f t="shared" si="15"/>
        <v>0</v>
      </c>
      <c r="L62" s="5">
        <f t="shared" si="16"/>
        <v>1000</v>
      </c>
      <c r="M62" s="5">
        <f t="shared" si="17"/>
        <v>-1000</v>
      </c>
    </row>
    <row r="63" spans="1:13" x14ac:dyDescent="0.55000000000000004">
      <c r="A63" s="3" t="s">
        <v>62</v>
      </c>
      <c r="B63" s="4"/>
      <c r="C63" s="5">
        <f>925</f>
        <v>925</v>
      </c>
      <c r="D63" s="5">
        <f t="shared" si="12"/>
        <v>-925</v>
      </c>
      <c r="E63" s="4"/>
      <c r="F63" s="4"/>
      <c r="G63" s="5">
        <f t="shared" si="13"/>
        <v>0</v>
      </c>
      <c r="H63" s="4"/>
      <c r="I63" s="4"/>
      <c r="J63" s="5">
        <f t="shared" si="14"/>
        <v>0</v>
      </c>
      <c r="K63" s="5">
        <f t="shared" si="15"/>
        <v>0</v>
      </c>
      <c r="L63" s="5">
        <f t="shared" si="16"/>
        <v>925</v>
      </c>
      <c r="M63" s="5">
        <f t="shared" si="17"/>
        <v>-925</v>
      </c>
    </row>
    <row r="64" spans="1:13" x14ac:dyDescent="0.55000000000000004">
      <c r="A64" s="3" t="s">
        <v>63</v>
      </c>
      <c r="B64" s="4"/>
      <c r="C64" s="5">
        <f>505</f>
        <v>505</v>
      </c>
      <c r="D64" s="5">
        <f t="shared" si="12"/>
        <v>-505</v>
      </c>
      <c r="E64" s="4"/>
      <c r="F64" s="4"/>
      <c r="G64" s="5">
        <f t="shared" si="13"/>
        <v>0</v>
      </c>
      <c r="H64" s="4"/>
      <c r="I64" s="4"/>
      <c r="J64" s="5">
        <f t="shared" si="14"/>
        <v>0</v>
      </c>
      <c r="K64" s="5">
        <f t="shared" si="15"/>
        <v>0</v>
      </c>
      <c r="L64" s="5">
        <f t="shared" si="16"/>
        <v>505</v>
      </c>
      <c r="M64" s="5">
        <f t="shared" si="17"/>
        <v>-505</v>
      </c>
    </row>
    <row r="65" spans="1:13" x14ac:dyDescent="0.55000000000000004">
      <c r="A65" s="3" t="s">
        <v>64</v>
      </c>
      <c r="B65" s="5">
        <f>1426.6</f>
        <v>1426.6</v>
      </c>
      <c r="C65" s="5">
        <f>123</f>
        <v>123</v>
      </c>
      <c r="D65" s="5">
        <f t="shared" si="12"/>
        <v>1303.5999999999999</v>
      </c>
      <c r="E65" s="4"/>
      <c r="F65" s="4"/>
      <c r="G65" s="5">
        <f t="shared" si="13"/>
        <v>0</v>
      </c>
      <c r="H65" s="4"/>
      <c r="I65" s="4"/>
      <c r="J65" s="5">
        <f t="shared" si="14"/>
        <v>0</v>
      </c>
      <c r="K65" s="5">
        <f t="shared" si="15"/>
        <v>1426.6</v>
      </c>
      <c r="L65" s="5">
        <f t="shared" si="16"/>
        <v>123</v>
      </c>
      <c r="M65" s="5">
        <f t="shared" si="17"/>
        <v>1303.5999999999999</v>
      </c>
    </row>
    <row r="66" spans="1:13" x14ac:dyDescent="0.55000000000000004">
      <c r="A66" s="3" t="s">
        <v>65</v>
      </c>
      <c r="B66" s="4"/>
      <c r="C66" s="5">
        <f>2050</f>
        <v>2050</v>
      </c>
      <c r="D66" s="5">
        <f t="shared" si="12"/>
        <v>-2050</v>
      </c>
      <c r="E66" s="4"/>
      <c r="F66" s="4"/>
      <c r="G66" s="5">
        <f t="shared" si="13"/>
        <v>0</v>
      </c>
      <c r="H66" s="4"/>
      <c r="I66" s="4"/>
      <c r="J66" s="5">
        <f t="shared" si="14"/>
        <v>0</v>
      </c>
      <c r="K66" s="5">
        <f t="shared" si="15"/>
        <v>0</v>
      </c>
      <c r="L66" s="5">
        <f t="shared" si="16"/>
        <v>2050</v>
      </c>
      <c r="M66" s="5">
        <f t="shared" si="17"/>
        <v>-2050</v>
      </c>
    </row>
    <row r="67" spans="1:13" x14ac:dyDescent="0.55000000000000004">
      <c r="A67" s="3" t="s">
        <v>66</v>
      </c>
      <c r="B67" s="5">
        <f>1817.58</f>
        <v>1817.58</v>
      </c>
      <c r="C67" s="5">
        <f>650</f>
        <v>650</v>
      </c>
      <c r="D67" s="5">
        <f t="shared" si="12"/>
        <v>1167.58</v>
      </c>
      <c r="E67" s="4"/>
      <c r="F67" s="4"/>
      <c r="G67" s="5">
        <f t="shared" si="13"/>
        <v>0</v>
      </c>
      <c r="H67" s="4"/>
      <c r="I67" s="4"/>
      <c r="J67" s="5">
        <f t="shared" si="14"/>
        <v>0</v>
      </c>
      <c r="K67" s="5">
        <f t="shared" si="15"/>
        <v>1817.58</v>
      </c>
      <c r="L67" s="5">
        <f t="shared" si="16"/>
        <v>650</v>
      </c>
      <c r="M67" s="5">
        <f t="shared" si="17"/>
        <v>1167.58</v>
      </c>
    </row>
    <row r="68" spans="1:13" x14ac:dyDescent="0.55000000000000004">
      <c r="A68" s="3" t="s">
        <v>67</v>
      </c>
      <c r="B68" s="5">
        <f>24567.64</f>
        <v>24567.64</v>
      </c>
      <c r="C68" s="5">
        <f>9380</f>
        <v>9380</v>
      </c>
      <c r="D68" s="5">
        <f t="shared" si="12"/>
        <v>15187.64</v>
      </c>
      <c r="E68" s="4"/>
      <c r="F68" s="4"/>
      <c r="G68" s="5">
        <f t="shared" si="13"/>
        <v>0</v>
      </c>
      <c r="H68" s="4"/>
      <c r="I68" s="4"/>
      <c r="J68" s="5">
        <f t="shared" si="14"/>
        <v>0</v>
      </c>
      <c r="K68" s="5">
        <f t="shared" si="15"/>
        <v>24567.64</v>
      </c>
      <c r="L68" s="5">
        <f t="shared" si="16"/>
        <v>9380</v>
      </c>
      <c r="M68" s="5">
        <f t="shared" si="17"/>
        <v>15187.64</v>
      </c>
    </row>
    <row r="69" spans="1:13" x14ac:dyDescent="0.55000000000000004">
      <c r="A69" s="3" t="s">
        <v>68</v>
      </c>
      <c r="B69" s="5">
        <f>10031.56</f>
        <v>10031.56</v>
      </c>
      <c r="C69" s="5">
        <f>4020</f>
        <v>4020</v>
      </c>
      <c r="D69" s="5">
        <f t="shared" si="12"/>
        <v>6011.5599999999995</v>
      </c>
      <c r="E69" s="4"/>
      <c r="F69" s="4"/>
      <c r="G69" s="5">
        <f t="shared" si="13"/>
        <v>0</v>
      </c>
      <c r="H69" s="4"/>
      <c r="I69" s="4"/>
      <c r="J69" s="5">
        <f t="shared" si="14"/>
        <v>0</v>
      </c>
      <c r="K69" s="5">
        <f t="shared" si="15"/>
        <v>10031.56</v>
      </c>
      <c r="L69" s="5">
        <f t="shared" si="16"/>
        <v>4020</v>
      </c>
      <c r="M69" s="5">
        <f t="shared" si="17"/>
        <v>6011.5599999999995</v>
      </c>
    </row>
    <row r="70" spans="1:13" x14ac:dyDescent="0.55000000000000004">
      <c r="A70" s="3" t="s">
        <v>69</v>
      </c>
      <c r="B70" s="6">
        <f>(((((((((B60)+(B61))+(B62))+(B63))+(B64))+(B65))+(B66))+(B67))+(B68))+(B69)</f>
        <v>38415.97</v>
      </c>
      <c r="C70" s="6">
        <f>(((((((((C60)+(C61))+(C62))+(C63))+(C64))+(C65))+(C66))+(C67))+(C68))+(C69)</f>
        <v>18903</v>
      </c>
      <c r="D70" s="6">
        <f t="shared" si="12"/>
        <v>19512.97</v>
      </c>
      <c r="E70" s="6">
        <f>(((((((((E60)+(E61))+(E62))+(E63))+(E64))+(E65))+(E66))+(E67))+(E68))+(E69)</f>
        <v>0</v>
      </c>
      <c r="F70" s="6">
        <f>(((((((((F60)+(F61))+(F62))+(F63))+(F64))+(F65))+(F66))+(F67))+(F68))+(F69)</f>
        <v>350</v>
      </c>
      <c r="G70" s="6">
        <f t="shared" si="13"/>
        <v>-350</v>
      </c>
      <c r="H70" s="6">
        <f>(((((((((H60)+(H61))+(H62))+(H63))+(H64))+(H65))+(H66))+(H67))+(H68))+(H69)</f>
        <v>0</v>
      </c>
      <c r="I70" s="6">
        <f>(((((((((I60)+(I61))+(I62))+(I63))+(I64))+(I65))+(I66))+(I67))+(I68))+(I69)</f>
        <v>623</v>
      </c>
      <c r="J70" s="6">
        <f t="shared" si="14"/>
        <v>-623</v>
      </c>
      <c r="K70" s="6">
        <f t="shared" si="15"/>
        <v>38415.97</v>
      </c>
      <c r="L70" s="6">
        <f t="shared" si="16"/>
        <v>19876</v>
      </c>
      <c r="M70" s="6">
        <f t="shared" si="17"/>
        <v>18539.97</v>
      </c>
    </row>
    <row r="71" spans="1:13" x14ac:dyDescent="0.55000000000000004">
      <c r="A71" s="3" t="s">
        <v>70</v>
      </c>
      <c r="B71" s="4"/>
      <c r="C71" s="4"/>
      <c r="D71" s="5">
        <f t="shared" si="12"/>
        <v>0</v>
      </c>
      <c r="E71" s="4"/>
      <c r="F71" s="4"/>
      <c r="G71" s="5">
        <f t="shared" si="13"/>
        <v>0</v>
      </c>
      <c r="H71" s="4"/>
      <c r="I71" s="4"/>
      <c r="J71" s="5">
        <f t="shared" si="14"/>
        <v>0</v>
      </c>
      <c r="K71" s="5">
        <f t="shared" si="15"/>
        <v>0</v>
      </c>
      <c r="L71" s="5">
        <f t="shared" si="16"/>
        <v>0</v>
      </c>
      <c r="M71" s="5">
        <f t="shared" si="17"/>
        <v>0</v>
      </c>
    </row>
    <row r="72" spans="1:13" x14ac:dyDescent="0.55000000000000004">
      <c r="A72" s="3" t="s">
        <v>71</v>
      </c>
      <c r="B72" s="5">
        <f>6160.31</f>
        <v>6160.31</v>
      </c>
      <c r="C72" s="5">
        <f>5593</f>
        <v>5593</v>
      </c>
      <c r="D72" s="5">
        <f t="shared" si="12"/>
        <v>567.3100000000004</v>
      </c>
      <c r="E72" s="5">
        <f>6160.31</f>
        <v>6160.31</v>
      </c>
      <c r="F72" s="5">
        <f>5593</f>
        <v>5593</v>
      </c>
      <c r="G72" s="5">
        <f t="shared" si="13"/>
        <v>567.3100000000004</v>
      </c>
      <c r="H72" s="5">
        <f>12320.6</f>
        <v>12320.6</v>
      </c>
      <c r="I72" s="5">
        <f>11185</f>
        <v>11185</v>
      </c>
      <c r="J72" s="5">
        <f t="shared" si="14"/>
        <v>1135.6000000000004</v>
      </c>
      <c r="K72" s="5">
        <f t="shared" si="15"/>
        <v>24641.22</v>
      </c>
      <c r="L72" s="5">
        <f t="shared" si="16"/>
        <v>22371</v>
      </c>
      <c r="M72" s="5">
        <f t="shared" si="17"/>
        <v>2270.2200000000012</v>
      </c>
    </row>
    <row r="73" spans="1:13" x14ac:dyDescent="0.55000000000000004">
      <c r="A73" s="3" t="s">
        <v>72</v>
      </c>
      <c r="B73" s="6">
        <f>(B71)+(B72)</f>
        <v>6160.31</v>
      </c>
      <c r="C73" s="6">
        <f>(C71)+(C72)</f>
        <v>5593</v>
      </c>
      <c r="D73" s="6">
        <f t="shared" si="12"/>
        <v>567.3100000000004</v>
      </c>
      <c r="E73" s="6">
        <f>(E71)+(E72)</f>
        <v>6160.31</v>
      </c>
      <c r="F73" s="6">
        <f>(F71)+(F72)</f>
        <v>5593</v>
      </c>
      <c r="G73" s="6">
        <f t="shared" si="13"/>
        <v>567.3100000000004</v>
      </c>
      <c r="H73" s="6">
        <f>(H71)+(H72)</f>
        <v>12320.6</v>
      </c>
      <c r="I73" s="6">
        <f>(I71)+(I72)</f>
        <v>11185</v>
      </c>
      <c r="J73" s="6">
        <f t="shared" si="14"/>
        <v>1135.6000000000004</v>
      </c>
      <c r="K73" s="6">
        <f t="shared" si="15"/>
        <v>24641.22</v>
      </c>
      <c r="L73" s="6">
        <f t="shared" si="16"/>
        <v>22371</v>
      </c>
      <c r="M73" s="6">
        <f t="shared" si="17"/>
        <v>2270.2200000000012</v>
      </c>
    </row>
    <row r="74" spans="1:13" x14ac:dyDescent="0.55000000000000004">
      <c r="A74" s="3" t="s">
        <v>73</v>
      </c>
      <c r="B74" s="4"/>
      <c r="C74" s="4"/>
      <c r="D74" s="5">
        <f t="shared" si="12"/>
        <v>0</v>
      </c>
      <c r="E74" s="4"/>
      <c r="F74" s="4"/>
      <c r="G74" s="5">
        <f t="shared" si="13"/>
        <v>0</v>
      </c>
      <c r="H74" s="4"/>
      <c r="I74" s="4"/>
      <c r="J74" s="5">
        <f t="shared" si="14"/>
        <v>0</v>
      </c>
      <c r="K74" s="5">
        <f t="shared" si="15"/>
        <v>0</v>
      </c>
      <c r="L74" s="5">
        <f t="shared" si="16"/>
        <v>0</v>
      </c>
      <c r="M74" s="5">
        <f t="shared" si="17"/>
        <v>0</v>
      </c>
    </row>
    <row r="75" spans="1:13" x14ac:dyDescent="0.55000000000000004">
      <c r="A75" s="3" t="s">
        <v>74</v>
      </c>
      <c r="B75" s="5">
        <f>2407.67</f>
        <v>2407.67</v>
      </c>
      <c r="C75" s="5">
        <f>3000</f>
        <v>3000</v>
      </c>
      <c r="D75" s="5">
        <f t="shared" si="12"/>
        <v>-592.32999999999993</v>
      </c>
      <c r="E75" s="5">
        <f>300</f>
        <v>300</v>
      </c>
      <c r="F75" s="5">
        <f>1800</f>
        <v>1800</v>
      </c>
      <c r="G75" s="5">
        <f t="shared" si="13"/>
        <v>-1500</v>
      </c>
      <c r="H75" s="5">
        <f>300</f>
        <v>300</v>
      </c>
      <c r="I75" s="5">
        <f>300</f>
        <v>300</v>
      </c>
      <c r="J75" s="5">
        <f t="shared" si="14"/>
        <v>0</v>
      </c>
      <c r="K75" s="5">
        <f t="shared" si="15"/>
        <v>3007.67</v>
      </c>
      <c r="L75" s="5">
        <f t="shared" si="16"/>
        <v>5100</v>
      </c>
      <c r="M75" s="5">
        <f t="shared" si="17"/>
        <v>-2092.33</v>
      </c>
    </row>
    <row r="76" spans="1:13" x14ac:dyDescent="0.55000000000000004">
      <c r="A76" s="3" t="s">
        <v>75</v>
      </c>
      <c r="B76" s="5">
        <f>380</f>
        <v>380</v>
      </c>
      <c r="C76" s="5">
        <f>699</f>
        <v>699</v>
      </c>
      <c r="D76" s="5">
        <f t="shared" si="12"/>
        <v>-319</v>
      </c>
      <c r="E76" s="4"/>
      <c r="F76" s="5">
        <f>249</f>
        <v>249</v>
      </c>
      <c r="G76" s="5">
        <f t="shared" si="13"/>
        <v>-249</v>
      </c>
      <c r="H76" s="4"/>
      <c r="I76" s="5">
        <f>249</f>
        <v>249</v>
      </c>
      <c r="J76" s="5">
        <f t="shared" si="14"/>
        <v>-249</v>
      </c>
      <c r="K76" s="5">
        <f t="shared" si="15"/>
        <v>380</v>
      </c>
      <c r="L76" s="5">
        <f t="shared" si="16"/>
        <v>1197</v>
      </c>
      <c r="M76" s="5">
        <f t="shared" si="17"/>
        <v>-817</v>
      </c>
    </row>
    <row r="77" spans="1:13" x14ac:dyDescent="0.55000000000000004">
      <c r="A77" s="3" t="s">
        <v>76</v>
      </c>
      <c r="B77" s="5">
        <f>79.1</f>
        <v>79.099999999999994</v>
      </c>
      <c r="C77" s="5">
        <f>474</f>
        <v>474</v>
      </c>
      <c r="D77" s="5">
        <f t="shared" si="12"/>
        <v>-394.9</v>
      </c>
      <c r="E77" s="4"/>
      <c r="F77" s="4"/>
      <c r="G77" s="5">
        <f t="shared" si="13"/>
        <v>0</v>
      </c>
      <c r="H77" s="4"/>
      <c r="I77" s="4"/>
      <c r="J77" s="5">
        <f t="shared" si="14"/>
        <v>0</v>
      </c>
      <c r="K77" s="5">
        <f t="shared" si="15"/>
        <v>79.099999999999994</v>
      </c>
      <c r="L77" s="5">
        <f t="shared" si="16"/>
        <v>474</v>
      </c>
      <c r="M77" s="5">
        <f t="shared" si="17"/>
        <v>-394.9</v>
      </c>
    </row>
    <row r="78" spans="1:13" x14ac:dyDescent="0.55000000000000004">
      <c r="A78" s="3" t="s">
        <v>77</v>
      </c>
      <c r="B78" s="5">
        <f>3731.13</f>
        <v>3731.13</v>
      </c>
      <c r="C78" s="5">
        <f>3000</f>
        <v>3000</v>
      </c>
      <c r="D78" s="5">
        <f t="shared" si="12"/>
        <v>731.13000000000011</v>
      </c>
      <c r="E78" s="4"/>
      <c r="F78" s="4"/>
      <c r="G78" s="5">
        <f t="shared" si="13"/>
        <v>0</v>
      </c>
      <c r="H78" s="4"/>
      <c r="I78" s="4"/>
      <c r="J78" s="5">
        <f t="shared" si="14"/>
        <v>0</v>
      </c>
      <c r="K78" s="5">
        <f t="shared" si="15"/>
        <v>3731.13</v>
      </c>
      <c r="L78" s="5">
        <f t="shared" si="16"/>
        <v>3000</v>
      </c>
      <c r="M78" s="5">
        <f t="shared" si="17"/>
        <v>731.13000000000011</v>
      </c>
    </row>
    <row r="79" spans="1:13" x14ac:dyDescent="0.55000000000000004">
      <c r="A79" s="3" t="s">
        <v>78</v>
      </c>
      <c r="B79" s="6">
        <f>((((B74)+(B75))+(B76))+(B77))+(B78)</f>
        <v>6597.9</v>
      </c>
      <c r="C79" s="6">
        <f>((((C74)+(C75))+(C76))+(C77))+(C78)</f>
        <v>7173</v>
      </c>
      <c r="D79" s="6">
        <f t="shared" si="12"/>
        <v>-575.10000000000036</v>
      </c>
      <c r="E79" s="6">
        <f>((((E74)+(E75))+(E76))+(E77))+(E78)</f>
        <v>300</v>
      </c>
      <c r="F79" s="6">
        <f>((((F74)+(F75))+(F76))+(F77))+(F78)</f>
        <v>2049</v>
      </c>
      <c r="G79" s="6">
        <f t="shared" si="13"/>
        <v>-1749</v>
      </c>
      <c r="H79" s="6">
        <f>((((H74)+(H75))+(H76))+(H77))+(H78)</f>
        <v>300</v>
      </c>
      <c r="I79" s="6">
        <f>((((I74)+(I75))+(I76))+(I77))+(I78)</f>
        <v>549</v>
      </c>
      <c r="J79" s="6">
        <f t="shared" si="14"/>
        <v>-249</v>
      </c>
      <c r="K79" s="6">
        <f t="shared" si="15"/>
        <v>7197.9</v>
      </c>
      <c r="L79" s="6">
        <f t="shared" si="16"/>
        <v>9771</v>
      </c>
      <c r="M79" s="6">
        <f t="shared" si="17"/>
        <v>-2573.1000000000004</v>
      </c>
    </row>
    <row r="80" spans="1:13" hidden="1" x14ac:dyDescent="0.55000000000000004">
      <c r="A80" s="3" t="s">
        <v>79</v>
      </c>
      <c r="B80" s="4"/>
      <c r="C80" s="4"/>
      <c r="D80" s="5">
        <f t="shared" si="12"/>
        <v>0</v>
      </c>
      <c r="E80" s="4"/>
      <c r="F80" s="4"/>
      <c r="G80" s="5">
        <f t="shared" si="13"/>
        <v>0</v>
      </c>
      <c r="H80" s="4"/>
      <c r="I80" s="4"/>
      <c r="J80" s="5">
        <f t="shared" si="14"/>
        <v>0</v>
      </c>
      <c r="K80" s="5">
        <f t="shared" si="15"/>
        <v>0</v>
      </c>
      <c r="L80" s="5">
        <f t="shared" si="16"/>
        <v>0</v>
      </c>
      <c r="M80" s="5">
        <f t="shared" si="17"/>
        <v>0</v>
      </c>
    </row>
    <row r="81" spans="1:13" hidden="1" x14ac:dyDescent="0.55000000000000004">
      <c r="A81" s="3" t="s">
        <v>80</v>
      </c>
      <c r="B81" s="5">
        <f>18527.28</f>
        <v>18527.28</v>
      </c>
      <c r="C81" s="5">
        <f>18525</f>
        <v>18525</v>
      </c>
      <c r="D81" s="5">
        <f t="shared" si="12"/>
        <v>2.2799999999988358</v>
      </c>
      <c r="E81" s="4"/>
      <c r="F81" s="4"/>
      <c r="G81" s="5">
        <f t="shared" si="13"/>
        <v>0</v>
      </c>
      <c r="H81" s="4"/>
      <c r="I81" s="4"/>
      <c r="J81" s="5">
        <f t="shared" si="14"/>
        <v>0</v>
      </c>
      <c r="K81" s="5">
        <f t="shared" si="15"/>
        <v>18527.28</v>
      </c>
      <c r="L81" s="5">
        <f t="shared" si="16"/>
        <v>18525</v>
      </c>
      <c r="M81" s="5">
        <f t="shared" si="17"/>
        <v>2.2799999999988358</v>
      </c>
    </row>
    <row r="82" spans="1:13" hidden="1" x14ac:dyDescent="0.55000000000000004">
      <c r="A82" s="3" t="s">
        <v>81</v>
      </c>
      <c r="B82" s="5">
        <f>15092.28</f>
        <v>15092.28</v>
      </c>
      <c r="C82" s="5">
        <f>15090</f>
        <v>15090</v>
      </c>
      <c r="D82" s="5">
        <f t="shared" si="12"/>
        <v>2.2800000000006548</v>
      </c>
      <c r="E82" s="4"/>
      <c r="F82" s="4"/>
      <c r="G82" s="5">
        <f t="shared" si="13"/>
        <v>0</v>
      </c>
      <c r="H82" s="4"/>
      <c r="I82" s="4"/>
      <c r="J82" s="5">
        <f t="shared" si="14"/>
        <v>0</v>
      </c>
      <c r="K82" s="5">
        <f t="shared" si="15"/>
        <v>15092.28</v>
      </c>
      <c r="L82" s="5">
        <f t="shared" si="16"/>
        <v>15090</v>
      </c>
      <c r="M82" s="5">
        <f t="shared" si="17"/>
        <v>2.2800000000006548</v>
      </c>
    </row>
    <row r="83" spans="1:13" hidden="1" x14ac:dyDescent="0.55000000000000004">
      <c r="A83" s="3" t="s">
        <v>82</v>
      </c>
      <c r="B83" s="4"/>
      <c r="C83" s="5">
        <f>0</f>
        <v>0</v>
      </c>
      <c r="D83" s="5">
        <f t="shared" si="12"/>
        <v>0</v>
      </c>
      <c r="E83" s="4"/>
      <c r="F83" s="4"/>
      <c r="G83" s="5">
        <f t="shared" si="13"/>
        <v>0</v>
      </c>
      <c r="H83" s="4"/>
      <c r="I83" s="4"/>
      <c r="J83" s="5">
        <f t="shared" si="14"/>
        <v>0</v>
      </c>
      <c r="K83" s="5">
        <f t="shared" si="15"/>
        <v>0</v>
      </c>
      <c r="L83" s="5">
        <f t="shared" si="16"/>
        <v>0</v>
      </c>
      <c r="M83" s="5">
        <f t="shared" si="17"/>
        <v>0</v>
      </c>
    </row>
    <row r="84" spans="1:13" hidden="1" x14ac:dyDescent="0.55000000000000004">
      <c r="A84" s="3" t="s">
        <v>83</v>
      </c>
      <c r="B84" s="4"/>
      <c r="C84" s="4"/>
      <c r="D84" s="5">
        <f t="shared" si="12"/>
        <v>0</v>
      </c>
      <c r="E84" s="5">
        <f>5640.53</f>
        <v>5640.53</v>
      </c>
      <c r="F84" s="5">
        <f>5640</f>
        <v>5640</v>
      </c>
      <c r="G84" s="5">
        <f t="shared" si="13"/>
        <v>0.52999999999974534</v>
      </c>
      <c r="H84" s="5">
        <f>11286.49</f>
        <v>11286.49</v>
      </c>
      <c r="I84" s="5">
        <f>11283</f>
        <v>11283</v>
      </c>
      <c r="J84" s="5">
        <f t="shared" si="14"/>
        <v>3.4899999999997817</v>
      </c>
      <c r="K84" s="5">
        <f t="shared" si="15"/>
        <v>16927.02</v>
      </c>
      <c r="L84" s="5">
        <f t="shared" si="16"/>
        <v>16923</v>
      </c>
      <c r="M84" s="5">
        <f t="shared" si="17"/>
        <v>4.0200000000004366</v>
      </c>
    </row>
    <row r="85" spans="1:13" hidden="1" x14ac:dyDescent="0.55000000000000004">
      <c r="A85" s="3" t="s">
        <v>84</v>
      </c>
      <c r="B85" s="4"/>
      <c r="C85" s="4"/>
      <c r="D85" s="5">
        <f t="shared" si="12"/>
        <v>0</v>
      </c>
      <c r="E85" s="4"/>
      <c r="F85" s="4"/>
      <c r="G85" s="5">
        <f t="shared" si="13"/>
        <v>0</v>
      </c>
      <c r="H85" s="5">
        <f>16628.28</f>
        <v>16628.28</v>
      </c>
      <c r="I85" s="5">
        <f>16482</f>
        <v>16482</v>
      </c>
      <c r="J85" s="5">
        <f t="shared" si="14"/>
        <v>146.27999999999884</v>
      </c>
      <c r="K85" s="5">
        <f t="shared" si="15"/>
        <v>16628.28</v>
      </c>
      <c r="L85" s="5">
        <f t="shared" si="16"/>
        <v>16482</v>
      </c>
      <c r="M85" s="5">
        <f t="shared" si="17"/>
        <v>146.27999999999884</v>
      </c>
    </row>
    <row r="86" spans="1:13" hidden="1" x14ac:dyDescent="0.55000000000000004">
      <c r="A86" s="3" t="s">
        <v>85</v>
      </c>
      <c r="B86" s="4"/>
      <c r="C86" s="4"/>
      <c r="D86" s="5">
        <f t="shared" si="12"/>
        <v>0</v>
      </c>
      <c r="E86" s="4"/>
      <c r="F86" s="4"/>
      <c r="G86" s="5">
        <f t="shared" si="13"/>
        <v>0</v>
      </c>
      <c r="H86" s="5">
        <f>11520.78</f>
        <v>11520.78</v>
      </c>
      <c r="I86" s="5">
        <f>11520</f>
        <v>11520</v>
      </c>
      <c r="J86" s="5">
        <f t="shared" si="14"/>
        <v>0.78000000000065484</v>
      </c>
      <c r="K86" s="5">
        <f t="shared" si="15"/>
        <v>11520.78</v>
      </c>
      <c r="L86" s="5">
        <f t="shared" si="16"/>
        <v>11520</v>
      </c>
      <c r="M86" s="5">
        <f t="shared" si="17"/>
        <v>0.78000000000065484</v>
      </c>
    </row>
    <row r="87" spans="1:13" hidden="1" x14ac:dyDescent="0.55000000000000004">
      <c r="A87" s="3" t="s">
        <v>86</v>
      </c>
      <c r="B87" s="4"/>
      <c r="C87" s="4"/>
      <c r="D87" s="5">
        <f t="shared" si="12"/>
        <v>0</v>
      </c>
      <c r="E87" s="4"/>
      <c r="F87" s="4"/>
      <c r="G87" s="5">
        <f t="shared" si="13"/>
        <v>0</v>
      </c>
      <c r="H87" s="5">
        <f>6053.83</f>
        <v>6053.83</v>
      </c>
      <c r="I87" s="5">
        <f>6000</f>
        <v>6000</v>
      </c>
      <c r="J87" s="5">
        <f t="shared" si="14"/>
        <v>53.829999999999927</v>
      </c>
      <c r="K87" s="5">
        <f t="shared" si="15"/>
        <v>6053.83</v>
      </c>
      <c r="L87" s="5">
        <f t="shared" si="16"/>
        <v>6000</v>
      </c>
      <c r="M87" s="5">
        <f t="shared" si="17"/>
        <v>53.829999999999927</v>
      </c>
    </row>
    <row r="88" spans="1:13" hidden="1" x14ac:dyDescent="0.55000000000000004">
      <c r="A88" s="3" t="s">
        <v>87</v>
      </c>
      <c r="B88" s="4"/>
      <c r="C88" s="4"/>
      <c r="D88" s="5">
        <f t="shared" ref="D88:D108" si="18">(B88)-(C88)</f>
        <v>0</v>
      </c>
      <c r="E88" s="4"/>
      <c r="F88" s="4"/>
      <c r="G88" s="5">
        <f t="shared" ref="G88:G108" si="19">(E88)-(F88)</f>
        <v>0</v>
      </c>
      <c r="H88" s="5">
        <f>3669.89</f>
        <v>3669.89</v>
      </c>
      <c r="I88" s="4"/>
      <c r="J88" s="5">
        <f t="shared" ref="J88:J108" si="20">(H88)-(I88)</f>
        <v>3669.89</v>
      </c>
      <c r="K88" s="5">
        <f t="shared" ref="K88:K108" si="21">((B88)+(E88))+(H88)</f>
        <v>3669.89</v>
      </c>
      <c r="L88" s="5">
        <f t="shared" ref="L88:L108" si="22">((C88)+(F88))+(I88)</f>
        <v>0</v>
      </c>
      <c r="M88" s="5">
        <f t="shared" ref="M88:M108" si="23">(K88)-(L88)</f>
        <v>3669.89</v>
      </c>
    </row>
    <row r="89" spans="1:13" hidden="1" x14ac:dyDescent="0.55000000000000004">
      <c r="A89" s="3" t="s">
        <v>88</v>
      </c>
      <c r="B89" s="4"/>
      <c r="C89" s="4"/>
      <c r="D89" s="5">
        <f t="shared" si="18"/>
        <v>0</v>
      </c>
      <c r="E89" s="4"/>
      <c r="F89" s="4"/>
      <c r="G89" s="5">
        <f t="shared" si="19"/>
        <v>0</v>
      </c>
      <c r="H89" s="5">
        <f>13287.54</f>
        <v>13287.54</v>
      </c>
      <c r="I89" s="5">
        <f>13287</f>
        <v>13287</v>
      </c>
      <c r="J89" s="5">
        <f t="shared" si="20"/>
        <v>0.54000000000087311</v>
      </c>
      <c r="K89" s="5">
        <f t="shared" si="21"/>
        <v>13287.54</v>
      </c>
      <c r="L89" s="5">
        <f t="shared" si="22"/>
        <v>13287</v>
      </c>
      <c r="M89" s="5">
        <f t="shared" si="23"/>
        <v>0.54000000000087311</v>
      </c>
    </row>
    <row r="90" spans="1:13" hidden="1" x14ac:dyDescent="0.55000000000000004">
      <c r="A90" s="3" t="s">
        <v>89</v>
      </c>
      <c r="B90" s="4"/>
      <c r="C90" s="4"/>
      <c r="D90" s="5">
        <f t="shared" si="18"/>
        <v>0</v>
      </c>
      <c r="E90" s="4"/>
      <c r="F90" s="4"/>
      <c r="G90" s="5">
        <f t="shared" si="19"/>
        <v>0</v>
      </c>
      <c r="H90" s="5">
        <f>13677.31</f>
        <v>13677.31</v>
      </c>
      <c r="I90" s="5">
        <f>12267</f>
        <v>12267</v>
      </c>
      <c r="J90" s="5">
        <f t="shared" si="20"/>
        <v>1410.3099999999995</v>
      </c>
      <c r="K90" s="5">
        <f t="shared" si="21"/>
        <v>13677.31</v>
      </c>
      <c r="L90" s="5">
        <f t="shared" si="22"/>
        <v>12267</v>
      </c>
      <c r="M90" s="5">
        <f t="shared" si="23"/>
        <v>1410.3099999999995</v>
      </c>
    </row>
    <row r="91" spans="1:13" hidden="1" x14ac:dyDescent="0.55000000000000004">
      <c r="A91" s="3" t="s">
        <v>90</v>
      </c>
      <c r="B91" s="4"/>
      <c r="C91" s="4"/>
      <c r="D91" s="5">
        <f t="shared" si="18"/>
        <v>0</v>
      </c>
      <c r="E91" s="4"/>
      <c r="F91" s="5">
        <f>11211</f>
        <v>11211</v>
      </c>
      <c r="G91" s="5">
        <f t="shared" si="19"/>
        <v>-11211</v>
      </c>
      <c r="H91" s="4"/>
      <c r="I91" s="4"/>
      <c r="J91" s="5">
        <f t="shared" si="20"/>
        <v>0</v>
      </c>
      <c r="K91" s="5">
        <f t="shared" si="21"/>
        <v>0</v>
      </c>
      <c r="L91" s="5">
        <f t="shared" si="22"/>
        <v>11211</v>
      </c>
      <c r="M91" s="5">
        <f t="shared" si="23"/>
        <v>-11211</v>
      </c>
    </row>
    <row r="92" spans="1:13" hidden="1" x14ac:dyDescent="0.55000000000000004">
      <c r="A92" s="3" t="s">
        <v>91</v>
      </c>
      <c r="B92" s="4"/>
      <c r="C92" s="4"/>
      <c r="D92" s="5">
        <f t="shared" si="18"/>
        <v>0</v>
      </c>
      <c r="E92" s="5">
        <f>11212.8</f>
        <v>11212.8</v>
      </c>
      <c r="F92" s="4"/>
      <c r="G92" s="5">
        <f t="shared" si="19"/>
        <v>11212.8</v>
      </c>
      <c r="H92" s="4"/>
      <c r="I92" s="4"/>
      <c r="J92" s="5">
        <f t="shared" si="20"/>
        <v>0</v>
      </c>
      <c r="K92" s="5">
        <f t="shared" si="21"/>
        <v>11212.8</v>
      </c>
      <c r="L92" s="5">
        <f t="shared" si="22"/>
        <v>0</v>
      </c>
      <c r="M92" s="5">
        <f t="shared" si="23"/>
        <v>11212.8</v>
      </c>
    </row>
    <row r="93" spans="1:13" hidden="1" x14ac:dyDescent="0.55000000000000004">
      <c r="A93" s="3" t="s">
        <v>92</v>
      </c>
      <c r="B93" s="4"/>
      <c r="C93" s="4"/>
      <c r="D93" s="5">
        <f t="shared" si="18"/>
        <v>0</v>
      </c>
      <c r="E93" s="5">
        <f>5972.51</f>
        <v>5972.51</v>
      </c>
      <c r="F93" s="5">
        <f>5971</f>
        <v>5971</v>
      </c>
      <c r="G93" s="5">
        <f t="shared" si="19"/>
        <v>1.5100000000002183</v>
      </c>
      <c r="H93" s="5">
        <f>5972.53</f>
        <v>5972.53</v>
      </c>
      <c r="I93" s="5">
        <f>5971</f>
        <v>5971</v>
      </c>
      <c r="J93" s="5">
        <f t="shared" si="20"/>
        <v>1.5299999999997453</v>
      </c>
      <c r="K93" s="5">
        <f t="shared" si="21"/>
        <v>11945.04</v>
      </c>
      <c r="L93" s="5">
        <f t="shared" si="22"/>
        <v>11942</v>
      </c>
      <c r="M93" s="5">
        <f t="shared" si="23"/>
        <v>3.0400000000008731</v>
      </c>
    </row>
    <row r="94" spans="1:13" hidden="1" x14ac:dyDescent="0.55000000000000004">
      <c r="A94" s="3" t="s">
        <v>93</v>
      </c>
      <c r="B94" s="4"/>
      <c r="C94" s="4"/>
      <c r="D94" s="5">
        <f t="shared" si="18"/>
        <v>0</v>
      </c>
      <c r="E94" s="4"/>
      <c r="F94" s="4"/>
      <c r="G94" s="5">
        <f t="shared" si="19"/>
        <v>0</v>
      </c>
      <c r="H94" s="5">
        <f>9300</f>
        <v>9300</v>
      </c>
      <c r="I94" s="5">
        <f>9300</f>
        <v>9300</v>
      </c>
      <c r="J94" s="5">
        <f t="shared" si="20"/>
        <v>0</v>
      </c>
      <c r="K94" s="5">
        <f t="shared" si="21"/>
        <v>9300</v>
      </c>
      <c r="L94" s="5">
        <f t="shared" si="22"/>
        <v>9300</v>
      </c>
      <c r="M94" s="5">
        <f t="shared" si="23"/>
        <v>0</v>
      </c>
    </row>
    <row r="95" spans="1:13" hidden="1" x14ac:dyDescent="0.55000000000000004">
      <c r="A95" s="3" t="s">
        <v>94</v>
      </c>
      <c r="B95" s="5">
        <f>3750</f>
        <v>3750</v>
      </c>
      <c r="C95" s="5">
        <f>3750</f>
        <v>3750</v>
      </c>
      <c r="D95" s="5">
        <f t="shared" si="18"/>
        <v>0</v>
      </c>
      <c r="E95" s="4"/>
      <c r="F95" s="4"/>
      <c r="G95" s="5">
        <f t="shared" si="19"/>
        <v>0</v>
      </c>
      <c r="H95" s="4"/>
      <c r="I95" s="4"/>
      <c r="J95" s="5">
        <f t="shared" si="20"/>
        <v>0</v>
      </c>
      <c r="K95" s="5">
        <f t="shared" si="21"/>
        <v>3750</v>
      </c>
      <c r="L95" s="5">
        <f t="shared" si="22"/>
        <v>3750</v>
      </c>
      <c r="M95" s="5">
        <f t="shared" si="23"/>
        <v>0</v>
      </c>
    </row>
    <row r="96" spans="1:13" hidden="1" x14ac:dyDescent="0.55000000000000004">
      <c r="A96" s="3" t="s">
        <v>95</v>
      </c>
      <c r="B96" s="4"/>
      <c r="C96" s="4"/>
      <c r="D96" s="5">
        <f t="shared" si="18"/>
        <v>0</v>
      </c>
      <c r="E96" s="5">
        <f>11779.69</f>
        <v>11779.69</v>
      </c>
      <c r="F96" s="5">
        <f>14250</f>
        <v>14250</v>
      </c>
      <c r="G96" s="5">
        <f t="shared" si="19"/>
        <v>-2470.3099999999995</v>
      </c>
      <c r="H96" s="5">
        <f>9790.55</f>
        <v>9790.5499999999993</v>
      </c>
      <c r="I96" s="5">
        <f>10125</f>
        <v>10125</v>
      </c>
      <c r="J96" s="5">
        <f t="shared" si="20"/>
        <v>-334.45000000000073</v>
      </c>
      <c r="K96" s="5">
        <f t="shared" si="21"/>
        <v>21570.239999999998</v>
      </c>
      <c r="L96" s="5">
        <f t="shared" si="22"/>
        <v>24375</v>
      </c>
      <c r="M96" s="5">
        <f t="shared" si="23"/>
        <v>-2804.760000000002</v>
      </c>
    </row>
    <row r="97" spans="1:13" hidden="1" x14ac:dyDescent="0.55000000000000004">
      <c r="A97" s="3" t="s">
        <v>96</v>
      </c>
      <c r="B97" s="4"/>
      <c r="C97" s="4"/>
      <c r="D97" s="5">
        <f t="shared" si="18"/>
        <v>0</v>
      </c>
      <c r="E97" s="5">
        <f>3771.39</f>
        <v>3771.39</v>
      </c>
      <c r="F97" s="4"/>
      <c r="G97" s="5">
        <f t="shared" si="19"/>
        <v>3771.39</v>
      </c>
      <c r="H97" s="5">
        <f>371.49</f>
        <v>371.49</v>
      </c>
      <c r="I97" s="4"/>
      <c r="J97" s="5">
        <f t="shared" si="20"/>
        <v>371.49</v>
      </c>
      <c r="K97" s="5">
        <f t="shared" si="21"/>
        <v>4142.88</v>
      </c>
      <c r="L97" s="5">
        <f t="shared" si="22"/>
        <v>0</v>
      </c>
      <c r="M97" s="5">
        <f t="shared" si="23"/>
        <v>4142.88</v>
      </c>
    </row>
    <row r="98" spans="1:13" x14ac:dyDescent="0.55000000000000004">
      <c r="A98" s="3" t="s">
        <v>97</v>
      </c>
      <c r="B98" s="6">
        <f>(((((((((((((((((B80)+(B81))+(B82))+(B83))+(B84))+(B85))+(B86))+(B87))+(B88))+(B89))+(B90))+(B91))+(B92))+(B93))+(B94))+(B95))+(B96))+(B97)</f>
        <v>37369.56</v>
      </c>
      <c r="C98" s="6">
        <f>(((((((((((((((((C80)+(C81))+(C82))+(C83))+(C84))+(C85))+(C86))+(C87))+(C88))+(C89))+(C90))+(C91))+(C92))+(C93))+(C94))+(C95))+(C96))+(C97)</f>
        <v>37365</v>
      </c>
      <c r="D98" s="6">
        <f t="shared" si="18"/>
        <v>4.5599999999976717</v>
      </c>
      <c r="E98" s="6">
        <f>(((((((((((((((((E80)+(E81))+(E82))+(E83))+(E84))+(E85))+(E86))+(E87))+(E88))+(E89))+(E90))+(E91))+(E92))+(E93))+(E94))+(E95))+(E96))+(E97)</f>
        <v>38376.92</v>
      </c>
      <c r="F98" s="6">
        <f>(((((((((((((((((F80)+(F81))+(F82))+(F83))+(F84))+(F85))+(F86))+(F87))+(F88))+(F89))+(F90))+(F91))+(F92))+(F93))+(F94))+(F95))+(F96))+(F97)</f>
        <v>37072</v>
      </c>
      <c r="G98" s="6">
        <f t="shared" si="19"/>
        <v>1304.9199999999983</v>
      </c>
      <c r="H98" s="6">
        <f>(((((((((((((((((H80)+(H81))+(H82))+(H83))+(H84))+(H85))+(H86))+(H87))+(H88))+(H89))+(H90))+(H91))+(H92))+(H93))+(H94))+(H95))+(H96))+(H97)</f>
        <v>101558.69</v>
      </c>
      <c r="I98" s="6">
        <f>(((((((((((((((((I80)+(I81))+(I82))+(I83))+(I84))+(I85))+(I86))+(I87))+(I88))+(I89))+(I90))+(I91))+(I92))+(I93))+(I94))+(I95))+(I96))+(I97)</f>
        <v>96235</v>
      </c>
      <c r="J98" s="6">
        <f t="shared" si="20"/>
        <v>5323.6900000000023</v>
      </c>
      <c r="K98" s="6">
        <f t="shared" si="21"/>
        <v>177305.16999999998</v>
      </c>
      <c r="L98" s="6">
        <f t="shared" si="22"/>
        <v>170672</v>
      </c>
      <c r="M98" s="6">
        <f t="shared" si="23"/>
        <v>6633.1699999999837</v>
      </c>
    </row>
    <row r="99" spans="1:13" x14ac:dyDescent="0.55000000000000004">
      <c r="A99" s="3" t="s">
        <v>98</v>
      </c>
      <c r="B99" s="4"/>
      <c r="C99" s="4"/>
      <c r="D99" s="5">
        <f t="shared" si="18"/>
        <v>0</v>
      </c>
      <c r="E99" s="4"/>
      <c r="F99" s="4"/>
      <c r="G99" s="5">
        <f t="shared" si="19"/>
        <v>0</v>
      </c>
      <c r="H99" s="4"/>
      <c r="I99" s="4"/>
      <c r="J99" s="5">
        <f t="shared" si="20"/>
        <v>0</v>
      </c>
      <c r="K99" s="5">
        <f t="shared" si="21"/>
        <v>0</v>
      </c>
      <c r="L99" s="5">
        <f t="shared" si="22"/>
        <v>0</v>
      </c>
      <c r="M99" s="5">
        <f t="shared" si="23"/>
        <v>0</v>
      </c>
    </row>
    <row r="100" spans="1:13" x14ac:dyDescent="0.55000000000000004">
      <c r="A100" s="3" t="s">
        <v>99</v>
      </c>
      <c r="B100" s="5">
        <f>387.71</f>
        <v>387.71</v>
      </c>
      <c r="C100" s="5">
        <f>399</f>
        <v>399</v>
      </c>
      <c r="D100" s="5">
        <f t="shared" si="18"/>
        <v>-11.29000000000002</v>
      </c>
      <c r="E100" s="5">
        <f>387.7</f>
        <v>387.7</v>
      </c>
      <c r="F100" s="5">
        <f>399</f>
        <v>399</v>
      </c>
      <c r="G100" s="5">
        <f t="shared" si="19"/>
        <v>-11.300000000000011</v>
      </c>
      <c r="H100" s="5">
        <f>775.42</f>
        <v>775.42</v>
      </c>
      <c r="I100" s="5">
        <f>798</f>
        <v>798</v>
      </c>
      <c r="J100" s="5">
        <f t="shared" si="20"/>
        <v>-22.580000000000041</v>
      </c>
      <c r="K100" s="5">
        <f t="shared" si="21"/>
        <v>1550.83</v>
      </c>
      <c r="L100" s="5">
        <f t="shared" si="22"/>
        <v>1596</v>
      </c>
      <c r="M100" s="5">
        <f t="shared" si="23"/>
        <v>-45.170000000000073</v>
      </c>
    </row>
    <row r="101" spans="1:13" x14ac:dyDescent="0.55000000000000004">
      <c r="A101" s="3" t="s">
        <v>100</v>
      </c>
      <c r="B101" s="5">
        <f>91.08</f>
        <v>91.08</v>
      </c>
      <c r="C101" s="5">
        <f>156</f>
        <v>156</v>
      </c>
      <c r="D101" s="5">
        <f t="shared" si="18"/>
        <v>-64.92</v>
      </c>
      <c r="E101" s="5">
        <f>91.05</f>
        <v>91.05</v>
      </c>
      <c r="F101" s="5">
        <f>156</f>
        <v>156</v>
      </c>
      <c r="G101" s="5">
        <f t="shared" si="19"/>
        <v>-64.95</v>
      </c>
      <c r="H101" s="5">
        <f>182.16</f>
        <v>182.16</v>
      </c>
      <c r="I101" s="5">
        <f>312</f>
        <v>312</v>
      </c>
      <c r="J101" s="5">
        <f t="shared" si="20"/>
        <v>-129.84</v>
      </c>
      <c r="K101" s="5">
        <f t="shared" si="21"/>
        <v>364.28999999999996</v>
      </c>
      <c r="L101" s="5">
        <f t="shared" si="22"/>
        <v>624</v>
      </c>
      <c r="M101" s="5">
        <f t="shared" si="23"/>
        <v>-259.71000000000004</v>
      </c>
    </row>
    <row r="102" spans="1:13" x14ac:dyDescent="0.55000000000000004">
      <c r="A102" s="3" t="s">
        <v>101</v>
      </c>
      <c r="B102" s="5">
        <f>531</f>
        <v>531</v>
      </c>
      <c r="C102" s="5">
        <f>1636</f>
        <v>1636</v>
      </c>
      <c r="D102" s="5">
        <f t="shared" si="18"/>
        <v>-1105</v>
      </c>
      <c r="E102" s="5">
        <f>531</f>
        <v>531</v>
      </c>
      <c r="F102" s="5">
        <f>1638</f>
        <v>1638</v>
      </c>
      <c r="G102" s="5">
        <f t="shared" si="19"/>
        <v>-1107</v>
      </c>
      <c r="H102" s="5">
        <f>2091</f>
        <v>2091</v>
      </c>
      <c r="I102" s="5">
        <f>3273</f>
        <v>3273</v>
      </c>
      <c r="J102" s="5">
        <f t="shared" si="20"/>
        <v>-1182</v>
      </c>
      <c r="K102" s="5">
        <f t="shared" si="21"/>
        <v>3153</v>
      </c>
      <c r="L102" s="5">
        <f t="shared" si="22"/>
        <v>6547</v>
      </c>
      <c r="M102" s="5">
        <f t="shared" si="23"/>
        <v>-3394</v>
      </c>
    </row>
    <row r="103" spans="1:13" x14ac:dyDescent="0.55000000000000004">
      <c r="A103" s="3" t="s">
        <v>102</v>
      </c>
      <c r="B103" s="5">
        <f>1315.38</f>
        <v>1315.38</v>
      </c>
      <c r="C103" s="5">
        <f>654</f>
        <v>654</v>
      </c>
      <c r="D103" s="5">
        <f t="shared" si="18"/>
        <v>661.38000000000011</v>
      </c>
      <c r="E103" s="5">
        <f>1315.35</f>
        <v>1315.35</v>
      </c>
      <c r="F103" s="5">
        <f>654</f>
        <v>654</v>
      </c>
      <c r="G103" s="5">
        <f t="shared" si="19"/>
        <v>661.34999999999991</v>
      </c>
      <c r="H103" s="5">
        <f>2630.72</f>
        <v>2630.72</v>
      </c>
      <c r="I103" s="5">
        <f>1311</f>
        <v>1311</v>
      </c>
      <c r="J103" s="5">
        <f t="shared" si="20"/>
        <v>1319.7199999999998</v>
      </c>
      <c r="K103" s="5">
        <f t="shared" si="21"/>
        <v>5261.45</v>
      </c>
      <c r="L103" s="5">
        <f t="shared" si="22"/>
        <v>2619</v>
      </c>
      <c r="M103" s="5">
        <f t="shared" si="23"/>
        <v>2642.45</v>
      </c>
    </row>
    <row r="104" spans="1:13" x14ac:dyDescent="0.55000000000000004">
      <c r="A104" s="3" t="s">
        <v>103</v>
      </c>
      <c r="B104" s="5">
        <f>255.48</f>
        <v>255.48</v>
      </c>
      <c r="C104" s="5">
        <f>186</f>
        <v>186</v>
      </c>
      <c r="D104" s="5">
        <f t="shared" si="18"/>
        <v>69.47999999999999</v>
      </c>
      <c r="E104" s="5">
        <f>255.47</f>
        <v>255.47</v>
      </c>
      <c r="F104" s="5">
        <f>186</f>
        <v>186</v>
      </c>
      <c r="G104" s="5">
        <f t="shared" si="19"/>
        <v>69.47</v>
      </c>
      <c r="H104" s="5">
        <f>510.94</f>
        <v>510.94</v>
      </c>
      <c r="I104" s="5">
        <f>375</f>
        <v>375</v>
      </c>
      <c r="J104" s="5">
        <f t="shared" si="20"/>
        <v>135.94</v>
      </c>
      <c r="K104" s="5">
        <f t="shared" si="21"/>
        <v>1021.89</v>
      </c>
      <c r="L104" s="5">
        <f t="shared" si="22"/>
        <v>747</v>
      </c>
      <c r="M104" s="5">
        <f t="shared" si="23"/>
        <v>274.89</v>
      </c>
    </row>
    <row r="105" spans="1:13" x14ac:dyDescent="0.55000000000000004">
      <c r="A105" s="3" t="s">
        <v>104</v>
      </c>
      <c r="B105" s="6">
        <f>(((((B99)+(B100))+(B101))+(B102))+(B103))+(B104)</f>
        <v>2580.65</v>
      </c>
      <c r="C105" s="6">
        <f>(((((C99)+(C100))+(C101))+(C102))+(C103))+(C104)</f>
        <v>3031</v>
      </c>
      <c r="D105" s="6">
        <f t="shared" si="18"/>
        <v>-450.34999999999991</v>
      </c>
      <c r="E105" s="6">
        <f>(((((E99)+(E100))+(E101))+(E102))+(E103))+(E104)</f>
        <v>2580.5699999999997</v>
      </c>
      <c r="F105" s="6">
        <f>(((((F99)+(F100))+(F101))+(F102))+(F103))+(F104)</f>
        <v>3033</v>
      </c>
      <c r="G105" s="6">
        <f t="shared" si="19"/>
        <v>-452.43000000000029</v>
      </c>
      <c r="H105" s="6">
        <f>(((((H99)+(H100))+(H101))+(H102))+(H103))+(H104)</f>
        <v>6190.2399999999989</v>
      </c>
      <c r="I105" s="6">
        <f>(((((I99)+(I100))+(I101))+(I102))+(I103))+(I104)</f>
        <v>6069</v>
      </c>
      <c r="J105" s="6">
        <f t="shared" si="20"/>
        <v>121.23999999999887</v>
      </c>
      <c r="K105" s="6">
        <f t="shared" si="21"/>
        <v>11351.46</v>
      </c>
      <c r="L105" s="6">
        <f t="shared" si="22"/>
        <v>12133</v>
      </c>
      <c r="M105" s="6">
        <f t="shared" si="23"/>
        <v>-781.54000000000087</v>
      </c>
    </row>
    <row r="106" spans="1:13" x14ac:dyDescent="0.55000000000000004">
      <c r="A106" s="3" t="s">
        <v>105</v>
      </c>
      <c r="B106" s="6">
        <f>((((((((B32)+(B42))+(B53))+(B59))+(B70))+(B73))+(B79))+(B98))+(B105)</f>
        <v>98937.68</v>
      </c>
      <c r="C106" s="6">
        <f>((((((((C32)+(C42))+(C53))+(C59))+(C70))+(C73))+(C79))+(C98))+(C105)</f>
        <v>89992</v>
      </c>
      <c r="D106" s="6">
        <f t="shared" si="18"/>
        <v>8945.679999999993</v>
      </c>
      <c r="E106" s="6">
        <f>((((((((E32)+(E42))+(E53))+(E59))+(E70))+(E73))+(E79))+(E98))+(E105)</f>
        <v>57015.519999999997</v>
      </c>
      <c r="F106" s="6">
        <f>((((((((F32)+(F42))+(F53))+(F59))+(F70))+(F73))+(F79))+(F98))+(F105)</f>
        <v>63912</v>
      </c>
      <c r="G106" s="6">
        <f t="shared" si="19"/>
        <v>-6896.4800000000032</v>
      </c>
      <c r="H106" s="6">
        <f>((((((((H32)+(H42))+(H53))+(H59))+(H70))+(H73))+(H79))+(H98))+(H105)</f>
        <v>144471.16</v>
      </c>
      <c r="I106" s="6">
        <f>((((((((I32)+(I42))+(I53))+(I59))+(I70))+(I73))+(I79))+(I98))+(I105)</f>
        <v>148259</v>
      </c>
      <c r="J106" s="6">
        <f t="shared" si="20"/>
        <v>-3787.8399999999965</v>
      </c>
      <c r="K106" s="6">
        <f t="shared" si="21"/>
        <v>300424.36</v>
      </c>
      <c r="L106" s="6">
        <f t="shared" si="22"/>
        <v>302163</v>
      </c>
      <c r="M106" s="6">
        <f t="shared" si="23"/>
        <v>-1738.640000000014</v>
      </c>
    </row>
    <row r="107" spans="1:13" x14ac:dyDescent="0.55000000000000004">
      <c r="A107" s="3" t="s">
        <v>106</v>
      </c>
      <c r="B107" s="6">
        <f>(B22)-(B106)</f>
        <v>85214.38</v>
      </c>
      <c r="C107" s="6">
        <f>(C22)-(C106)</f>
        <v>44008</v>
      </c>
      <c r="D107" s="6">
        <f t="shared" si="18"/>
        <v>41206.380000000005</v>
      </c>
      <c r="E107" s="6">
        <f>(E22)-(E106)</f>
        <v>75278.87</v>
      </c>
      <c r="F107" s="6">
        <f>(F22)-(F106)</f>
        <v>-18612</v>
      </c>
      <c r="G107" s="6">
        <f t="shared" si="19"/>
        <v>93890.87</v>
      </c>
      <c r="H107" s="6">
        <f>(H22)-(H106)</f>
        <v>215348.85000000006</v>
      </c>
      <c r="I107" s="6">
        <f>(I22)-(I106)</f>
        <v>-25059</v>
      </c>
      <c r="J107" s="6">
        <f t="shared" si="20"/>
        <v>240407.85000000006</v>
      </c>
      <c r="K107" s="6">
        <f t="shared" si="21"/>
        <v>375842.10000000009</v>
      </c>
      <c r="L107" s="6">
        <f t="shared" si="22"/>
        <v>337</v>
      </c>
      <c r="M107" s="6">
        <f t="shared" si="23"/>
        <v>375505.10000000009</v>
      </c>
    </row>
    <row r="108" spans="1:13" x14ac:dyDescent="0.55000000000000004">
      <c r="A108" s="3" t="s">
        <v>107</v>
      </c>
      <c r="B108" s="7">
        <f>(B107)+(0)</f>
        <v>85214.38</v>
      </c>
      <c r="C108" s="7">
        <f>(C107)+(0)</f>
        <v>44008</v>
      </c>
      <c r="D108" s="7">
        <f t="shared" si="18"/>
        <v>41206.380000000005</v>
      </c>
      <c r="E108" s="7">
        <f>(E107)+(0)</f>
        <v>75278.87</v>
      </c>
      <c r="F108" s="7">
        <f>(F107)+(0)</f>
        <v>-18612</v>
      </c>
      <c r="G108" s="7">
        <f t="shared" si="19"/>
        <v>93890.87</v>
      </c>
      <c r="H108" s="7">
        <f>(H107)+(0)</f>
        <v>215348.85000000006</v>
      </c>
      <c r="I108" s="7">
        <f>(I107)+(0)</f>
        <v>-25059</v>
      </c>
      <c r="J108" s="7">
        <f t="shared" si="20"/>
        <v>240407.85000000006</v>
      </c>
      <c r="K108" s="7">
        <f t="shared" si="21"/>
        <v>375842.10000000009</v>
      </c>
      <c r="L108" s="7">
        <f t="shared" si="22"/>
        <v>337</v>
      </c>
      <c r="M108" s="7">
        <f t="shared" si="23"/>
        <v>375505.10000000009</v>
      </c>
    </row>
    <row r="109" spans="1:13" x14ac:dyDescent="0.55000000000000004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2" spans="1:13" x14ac:dyDescent="0.55000000000000004">
      <c r="A112" s="13" t="s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</sheetData>
  <mergeCells count="8">
    <mergeCell ref="A112:M112"/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7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cp:lastPrinted>2019-01-28T19:42:35Z</cp:lastPrinted>
  <dcterms:created xsi:type="dcterms:W3CDTF">2019-01-28T18:52:37Z</dcterms:created>
  <dcterms:modified xsi:type="dcterms:W3CDTF">2019-01-28T19:43:06Z</dcterms:modified>
</cp:coreProperties>
</file>